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\Data\Doug's Documents\Badminton\MBL\Marjorie Consterdine\"/>
    </mc:Choice>
  </mc:AlternateContent>
  <xr:revisionPtr revIDLastSave="0" documentId="13_ncr:1_{DD611E56-DF58-4FB9-A149-1D8CE92801F8}" xr6:coauthVersionLast="47" xr6:coauthVersionMax="47" xr10:uidLastSave="{00000000-0000-0000-0000-000000000000}"/>
  <bookViews>
    <workbookView xWindow="-120" yWindow="-120" windowWidth="29040" windowHeight="15720" tabRatio="810" xr2:uid="{00000000-000D-0000-FFFF-FFFF00000000}"/>
  </bookViews>
  <sheets>
    <sheet name="Summary" sheetId="17" r:id="rId1"/>
    <sheet name="Match Results" sheetId="18" r:id="rId2"/>
    <sheet name="Players" sheetId="19" r:id="rId3"/>
    <sheet name="Score Sheet Mens" sheetId="14" r:id="rId4"/>
    <sheet name="Score Sheet Ladies" sheetId="29" r:id="rId5"/>
    <sheet name="Score Sheet Mixed" sheetId="30" r:id="rId6"/>
    <sheet name="Mens Scorecards" sheetId="3" r:id="rId7"/>
    <sheet name="Ladies Scorecards" sheetId="22" r:id="rId8"/>
    <sheet name="Mixed Scorecards" sheetId="23" r:id="rId9"/>
    <sheet name="Player Sheet" sheetId="28" r:id="rId10"/>
    <sheet name="Blank Scorecards" sheetId="9" state="hidden" r:id="rId11"/>
    <sheet name="Handicaps" sheetId="20" r:id="rId12"/>
    <sheet name="Matches" sheetId="21" r:id="rId13"/>
  </sheets>
  <definedNames>
    <definedName name="_xlnm.Print_Area" localSheetId="10">'Blank Scorecards'!$A$1:$I$47</definedName>
  </definedNames>
  <calcPr calcId="181029"/>
</workbook>
</file>

<file path=xl/calcChain.xml><?xml version="1.0" encoding="utf-8"?>
<calcChain xmlns="http://schemas.openxmlformats.org/spreadsheetml/2006/main">
  <c r="B47" i="17" l="1"/>
  <c r="K38" i="17"/>
  <c r="J38" i="17"/>
  <c r="H38" i="17"/>
  <c r="F38" i="17"/>
  <c r="D38" i="17"/>
  <c r="K34" i="17"/>
  <c r="J34" i="17"/>
  <c r="I34" i="17"/>
  <c r="G34" i="17"/>
  <c r="E34" i="17"/>
  <c r="J37" i="17"/>
  <c r="I37" i="17"/>
  <c r="H37" i="17"/>
  <c r="F37" i="17"/>
  <c r="D37" i="17"/>
  <c r="K33" i="17"/>
  <c r="I33" i="17"/>
  <c r="H33" i="17"/>
  <c r="G33" i="17"/>
  <c r="E33" i="17"/>
  <c r="J36" i="17"/>
  <c r="H36" i="17"/>
  <c r="G36" i="17"/>
  <c r="F36" i="17"/>
  <c r="D36" i="17"/>
  <c r="K32" i="17"/>
  <c r="I32" i="17"/>
  <c r="G32" i="17"/>
  <c r="F32" i="17"/>
  <c r="E32" i="17"/>
  <c r="J35" i="17"/>
  <c r="H35" i="17"/>
  <c r="F35" i="17"/>
  <c r="E35" i="17"/>
  <c r="D35" i="17"/>
  <c r="K31" i="17"/>
  <c r="I31" i="17"/>
  <c r="G31" i="17"/>
  <c r="E31" i="17"/>
  <c r="D31" i="17"/>
  <c r="G26" i="17"/>
  <c r="F25" i="17"/>
  <c r="E24" i="17"/>
  <c r="D23" i="17"/>
  <c r="G18" i="17"/>
  <c r="F17" i="17"/>
  <c r="E16" i="17"/>
  <c r="D15" i="17"/>
  <c r="E15" i="14" l="1"/>
  <c r="F9" i="14"/>
  <c r="E9" i="14"/>
  <c r="C9" i="14"/>
  <c r="F6" i="14"/>
  <c r="E6" i="14"/>
  <c r="D6" i="14"/>
  <c r="C12" i="14"/>
  <c r="C15" i="14"/>
  <c r="F12" i="14"/>
  <c r="D12" i="14"/>
  <c r="D15" i="14"/>
  <c r="D27" i="30" l="1"/>
  <c r="F27" i="30"/>
  <c r="H27" i="30"/>
  <c r="G15" i="30"/>
  <c r="E15" i="30"/>
  <c r="C15" i="30"/>
  <c r="D24" i="30"/>
  <c r="F24" i="30"/>
  <c r="J24" i="30"/>
  <c r="I12" i="30"/>
  <c r="E12" i="30"/>
  <c r="C12" i="30"/>
  <c r="J21" i="30"/>
  <c r="H21" i="30"/>
  <c r="D21" i="30"/>
  <c r="C9" i="30"/>
  <c r="G9" i="30"/>
  <c r="I9" i="30"/>
  <c r="J18" i="30"/>
  <c r="H18" i="30"/>
  <c r="F18" i="30"/>
  <c r="I6" i="30"/>
  <c r="G6" i="30"/>
  <c r="B27" i="18"/>
  <c r="B26" i="18"/>
  <c r="B25" i="18"/>
  <c r="B24" i="18"/>
  <c r="B23" i="18"/>
  <c r="B22" i="18"/>
  <c r="E6" i="30"/>
  <c r="G22" i="28"/>
  <c r="F22" i="28"/>
  <c r="D22" i="28"/>
  <c r="C22" i="28"/>
  <c r="G21" i="28"/>
  <c r="F21" i="28"/>
  <c r="D21" i="28"/>
  <c r="C21" i="28"/>
  <c r="G20" i="28"/>
  <c r="F20" i="28"/>
  <c r="D20" i="28"/>
  <c r="C20" i="28"/>
  <c r="G19" i="28"/>
  <c r="F19" i="28"/>
  <c r="D19" i="28"/>
  <c r="C19" i="28"/>
  <c r="G17" i="28"/>
  <c r="F17" i="28"/>
  <c r="D17" i="28"/>
  <c r="C17" i="28"/>
  <c r="G16" i="28"/>
  <c r="F16" i="28"/>
  <c r="D16" i="28"/>
  <c r="C16" i="28"/>
  <c r="G15" i="28"/>
  <c r="F15" i="28"/>
  <c r="D15" i="28"/>
  <c r="C15" i="28"/>
  <c r="G14" i="28"/>
  <c r="F14" i="28"/>
  <c r="D14" i="28"/>
  <c r="C14" i="28"/>
  <c r="G12" i="28"/>
  <c r="F12" i="28"/>
  <c r="D12" i="28"/>
  <c r="C12" i="28"/>
  <c r="G11" i="28"/>
  <c r="F11" i="28"/>
  <c r="D11" i="28"/>
  <c r="C11" i="28"/>
  <c r="G10" i="28"/>
  <c r="F10" i="28"/>
  <c r="D10" i="28"/>
  <c r="C10" i="28"/>
  <c r="G9" i="28"/>
  <c r="F9" i="28"/>
  <c r="D9" i="28"/>
  <c r="C9" i="28"/>
  <c r="G7" i="28"/>
  <c r="F7" i="28"/>
  <c r="D7" i="28"/>
  <c r="C7" i="28"/>
  <c r="G6" i="28"/>
  <c r="F6" i="28"/>
  <c r="D6" i="28"/>
  <c r="C6" i="28"/>
  <c r="G5" i="28"/>
  <c r="F5" i="28"/>
  <c r="D5" i="28"/>
  <c r="C5" i="28"/>
  <c r="G4" i="28"/>
  <c r="F4" i="28"/>
  <c r="D4" i="28"/>
  <c r="C4" i="28"/>
  <c r="E15" i="29" l="1"/>
  <c r="D15" i="29"/>
  <c r="C15" i="29"/>
  <c r="F12" i="29"/>
  <c r="D12" i="29"/>
  <c r="C12" i="29"/>
  <c r="F9" i="29"/>
  <c r="E9" i="29"/>
  <c r="C9" i="29"/>
  <c r="F6" i="29"/>
  <c r="E6" i="29"/>
  <c r="D6" i="29"/>
  <c r="I15" i="18" l="1"/>
  <c r="I14" i="18"/>
  <c r="C4" i="19" l="1"/>
  <c r="A6" i="14" l="1"/>
  <c r="I9" i="18"/>
  <c r="I8" i="18"/>
  <c r="J27" i="18" l="1"/>
  <c r="I27" i="18"/>
  <c r="J26" i="18"/>
  <c r="F29" i="30" s="1"/>
  <c r="I26" i="18"/>
  <c r="J25" i="18"/>
  <c r="I25" i="18"/>
  <c r="J24" i="18"/>
  <c r="I24" i="18"/>
  <c r="J23" i="18"/>
  <c r="I23" i="18"/>
  <c r="J22" i="18"/>
  <c r="D23" i="30" s="1"/>
  <c r="I22" i="18"/>
  <c r="J21" i="18"/>
  <c r="C14" i="30" s="1"/>
  <c r="I21" i="18"/>
  <c r="J20" i="18"/>
  <c r="E17" i="30" s="1"/>
  <c r="I20" i="18"/>
  <c r="D29" i="30" l="1"/>
  <c r="H20" i="30"/>
  <c r="K27" i="18"/>
  <c r="D26" i="30"/>
  <c r="J23" i="30"/>
  <c r="K26" i="18"/>
  <c r="J20" i="30"/>
  <c r="K25" i="18"/>
  <c r="F26" i="30"/>
  <c r="H23" i="30"/>
  <c r="K24" i="18"/>
  <c r="J26" i="30"/>
  <c r="K23" i="18"/>
  <c r="H29" i="30"/>
  <c r="F20" i="30"/>
  <c r="K22" i="18"/>
  <c r="G8" i="30"/>
  <c r="K21" i="18"/>
  <c r="I11" i="30"/>
  <c r="K20" i="18"/>
  <c r="H12" i="19"/>
  <c r="F329" i="23" l="1"/>
  <c r="F300" i="23"/>
  <c r="F271" i="23"/>
  <c r="F242" i="23"/>
  <c r="F213" i="23"/>
  <c r="F343" i="23"/>
  <c r="E343" i="23"/>
  <c r="F314" i="23"/>
  <c r="E314" i="23"/>
  <c r="F285" i="23"/>
  <c r="E285" i="23"/>
  <c r="F256" i="23"/>
  <c r="E256" i="23"/>
  <c r="F227" i="23"/>
  <c r="E227" i="23"/>
  <c r="F184" i="23"/>
  <c r="F198" i="23"/>
  <c r="E198" i="23"/>
  <c r="G27" i="18"/>
  <c r="G26" i="18"/>
  <c r="G25" i="18"/>
  <c r="G24" i="18"/>
  <c r="G23" i="18"/>
  <c r="G22" i="18"/>
  <c r="G21" i="18"/>
  <c r="G20" i="18"/>
  <c r="F27" i="18"/>
  <c r="F26" i="18"/>
  <c r="F25" i="18"/>
  <c r="F24" i="18"/>
  <c r="F23" i="18"/>
  <c r="F22" i="18"/>
  <c r="F21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N4" i="18"/>
  <c r="C27" i="18"/>
  <c r="C26" i="18"/>
  <c r="C25" i="18"/>
  <c r="C24" i="18"/>
  <c r="C23" i="18"/>
  <c r="C22" i="18"/>
  <c r="D7" i="21"/>
  <c r="C7" i="21"/>
  <c r="C332" i="23" s="1"/>
  <c r="D6" i="21"/>
  <c r="H303" i="23" s="1"/>
  <c r="C6" i="21"/>
  <c r="D5" i="21"/>
  <c r="C5" i="21"/>
  <c r="D4" i="21"/>
  <c r="C4" i="21"/>
  <c r="D3" i="21"/>
  <c r="C3" i="21"/>
  <c r="D2" i="21"/>
  <c r="C2" i="21"/>
  <c r="H19" i="30" l="1"/>
  <c r="H27" i="18"/>
  <c r="J22" i="30"/>
  <c r="H26" i="18"/>
  <c r="J19" i="30"/>
  <c r="H25" i="18"/>
  <c r="H22" i="30"/>
  <c r="H24" i="18"/>
  <c r="J25" i="30"/>
  <c r="H23" i="18"/>
  <c r="F19" i="30"/>
  <c r="H22" i="18"/>
  <c r="G7" i="30"/>
  <c r="H21" i="18"/>
  <c r="H28" i="30"/>
  <c r="F28" i="30"/>
  <c r="C13" i="30"/>
  <c r="D25" i="30"/>
  <c r="D28" i="30"/>
  <c r="F25" i="30"/>
  <c r="D22" i="30"/>
  <c r="C187" i="23"/>
  <c r="H187" i="23"/>
  <c r="H245" i="23"/>
  <c r="H216" i="23"/>
  <c r="H274" i="23"/>
  <c r="C303" i="23"/>
  <c r="C216" i="23"/>
  <c r="C274" i="23"/>
  <c r="H332" i="23"/>
  <c r="C245" i="23"/>
  <c r="M27" i="18" l="1"/>
  <c r="E37" i="17" s="1"/>
  <c r="L27" i="18"/>
  <c r="I35" i="17" s="1"/>
  <c r="M26" i="18"/>
  <c r="G38" i="17" s="1"/>
  <c r="L26" i="18"/>
  <c r="K36" i="17" s="1"/>
  <c r="M25" i="18"/>
  <c r="E38" i="17" s="1"/>
  <c r="L25" i="18"/>
  <c r="K35" i="17" s="1"/>
  <c r="M21" i="18"/>
  <c r="D33" i="17" s="1"/>
  <c r="L21" i="18"/>
  <c r="H31" i="17" s="1"/>
  <c r="M20" i="18"/>
  <c r="F34" i="17" s="1"/>
  <c r="L24" i="18" l="1"/>
  <c r="I36" i="17" s="1"/>
  <c r="M23" i="18"/>
  <c r="L22" i="18"/>
  <c r="F20" i="18"/>
  <c r="H20" i="18" s="1"/>
  <c r="J19" i="18"/>
  <c r="I19" i="18"/>
  <c r="G19" i="18"/>
  <c r="F19" i="18"/>
  <c r="J18" i="18"/>
  <c r="I18" i="18"/>
  <c r="G18" i="18"/>
  <c r="E13" i="30" s="1"/>
  <c r="F18" i="18"/>
  <c r="J17" i="18"/>
  <c r="I17" i="18"/>
  <c r="G17" i="18"/>
  <c r="F17" i="18"/>
  <c r="H17" i="18" s="1"/>
  <c r="J16" i="18"/>
  <c r="C11" i="30" s="1"/>
  <c r="I16" i="18"/>
  <c r="G16" i="18"/>
  <c r="F16" i="18"/>
  <c r="J15" i="18"/>
  <c r="G15" i="18"/>
  <c r="F15" i="18"/>
  <c r="J14" i="18"/>
  <c r="G14" i="18"/>
  <c r="F14" i="18"/>
  <c r="H14" i="18" s="1"/>
  <c r="J13" i="18"/>
  <c r="C17" i="29" s="1"/>
  <c r="I13" i="18"/>
  <c r="G13" i="18"/>
  <c r="F13" i="18"/>
  <c r="J12" i="18"/>
  <c r="D14" i="29" s="1"/>
  <c r="I12" i="18"/>
  <c r="G12" i="18"/>
  <c r="F12" i="18"/>
  <c r="J11" i="18"/>
  <c r="E17" i="29" s="1"/>
  <c r="I11" i="18"/>
  <c r="G11" i="18"/>
  <c r="F11" i="18"/>
  <c r="J10" i="18"/>
  <c r="I10" i="18"/>
  <c r="G10" i="18"/>
  <c r="F10" i="18"/>
  <c r="J9" i="18"/>
  <c r="G9" i="18"/>
  <c r="J8" i="18"/>
  <c r="G8" i="18"/>
  <c r="J7" i="18"/>
  <c r="G7" i="18"/>
  <c r="J6" i="18"/>
  <c r="D14" i="14" s="1"/>
  <c r="G6" i="18"/>
  <c r="J5" i="18"/>
  <c r="E17" i="14" s="1"/>
  <c r="G5" i="18"/>
  <c r="J4" i="18"/>
  <c r="G4" i="18"/>
  <c r="M4" i="18" s="1"/>
  <c r="F9" i="18"/>
  <c r="F8" i="18"/>
  <c r="I7" i="18"/>
  <c r="F7" i="18"/>
  <c r="I6" i="18"/>
  <c r="F6" i="18"/>
  <c r="I5" i="18"/>
  <c r="F5" i="18"/>
  <c r="H5" i="18" s="1"/>
  <c r="I4" i="18"/>
  <c r="F4" i="18"/>
  <c r="H19" i="18" l="1"/>
  <c r="G17" i="30"/>
  <c r="H15" i="18"/>
  <c r="C13" i="29"/>
  <c r="C11" i="29"/>
  <c r="I38" i="17"/>
  <c r="L27" i="30"/>
  <c r="K27" i="30"/>
  <c r="G35" i="17"/>
  <c r="L18" i="30"/>
  <c r="K18" i="30"/>
  <c r="I8" i="30"/>
  <c r="K19" i="18"/>
  <c r="C17" i="30"/>
  <c r="E14" i="30"/>
  <c r="H18" i="18"/>
  <c r="G11" i="30"/>
  <c r="K18" i="18"/>
  <c r="I14" i="30"/>
  <c r="K17" i="18"/>
  <c r="H16" i="18"/>
  <c r="E8" i="30"/>
  <c r="K16" i="18"/>
  <c r="C14" i="29"/>
  <c r="K15" i="18"/>
  <c r="E8" i="29"/>
  <c r="D17" i="29"/>
  <c r="F11" i="29"/>
  <c r="K14" i="18"/>
  <c r="F7" i="29"/>
  <c r="H13" i="18"/>
  <c r="F8" i="29"/>
  <c r="K13" i="18"/>
  <c r="E10" i="29"/>
  <c r="H12" i="18"/>
  <c r="E11" i="29"/>
  <c r="K12" i="18"/>
  <c r="F13" i="29"/>
  <c r="H11" i="18"/>
  <c r="F14" i="29"/>
  <c r="K11" i="18"/>
  <c r="D8" i="29"/>
  <c r="K10" i="18"/>
  <c r="D7" i="29"/>
  <c r="H10" i="18"/>
  <c r="L9" i="18"/>
  <c r="F15" i="17" s="1"/>
  <c r="H9" i="18"/>
  <c r="C14" i="14"/>
  <c r="E8" i="14"/>
  <c r="K9" i="18"/>
  <c r="L8" i="18"/>
  <c r="G16" i="17" s="1"/>
  <c r="H8" i="18"/>
  <c r="D17" i="14"/>
  <c r="F11" i="14"/>
  <c r="K8" i="18"/>
  <c r="L7" i="18"/>
  <c r="G15" i="17" s="1"/>
  <c r="H7" i="18"/>
  <c r="F8" i="14"/>
  <c r="K7" i="18"/>
  <c r="C17" i="14"/>
  <c r="E11" i="14"/>
  <c r="K6" i="18"/>
  <c r="H6" i="18"/>
  <c r="F14" i="14"/>
  <c r="K5" i="18"/>
  <c r="H4" i="18"/>
  <c r="D8" i="14"/>
  <c r="K4" i="18"/>
  <c r="D16" i="17"/>
  <c r="C11" i="14"/>
  <c r="E7" i="30"/>
  <c r="E10" i="14"/>
  <c r="D7" i="14"/>
  <c r="D16" i="14"/>
  <c r="C13" i="14"/>
  <c r="E16" i="14"/>
  <c r="F13" i="14"/>
  <c r="D13" i="14"/>
  <c r="C16" i="14"/>
  <c r="C16" i="29"/>
  <c r="C10" i="29"/>
  <c r="D13" i="29"/>
  <c r="G16" i="30"/>
  <c r="C16" i="30"/>
  <c r="E7" i="14"/>
  <c r="F10" i="14"/>
  <c r="F7" i="14"/>
  <c r="C10" i="14"/>
  <c r="E7" i="29"/>
  <c r="L14" i="18"/>
  <c r="G24" i="17" s="1"/>
  <c r="F10" i="29"/>
  <c r="D16" i="29"/>
  <c r="E16" i="29"/>
  <c r="L20" i="18"/>
  <c r="J32" i="17" s="1"/>
  <c r="I10" i="30"/>
  <c r="E16" i="30"/>
  <c r="I7" i="30"/>
  <c r="G10" i="30"/>
  <c r="I13" i="30"/>
  <c r="C10" i="30"/>
  <c r="L4" i="18"/>
  <c r="L11" i="18"/>
  <c r="L15" i="18"/>
  <c r="F23" i="17" s="1"/>
  <c r="L13" i="18"/>
  <c r="G23" i="17" s="1"/>
  <c r="L12" i="18"/>
  <c r="F24" i="17" s="1"/>
  <c r="M9" i="18"/>
  <c r="D17" i="17" s="1"/>
  <c r="M15" i="18"/>
  <c r="D25" i="17" s="1"/>
  <c r="M14" i="18"/>
  <c r="E26" i="17" s="1"/>
  <c r="M13" i="18"/>
  <c r="D26" i="17" s="1"/>
  <c r="M12" i="18"/>
  <c r="E25" i="17" s="1"/>
  <c r="M10" i="18"/>
  <c r="M8" i="18"/>
  <c r="E18" i="17" s="1"/>
  <c r="L6" i="18"/>
  <c r="F16" i="17" s="1"/>
  <c r="M5" i="18"/>
  <c r="L5" i="18"/>
  <c r="M17" i="18"/>
  <c r="M19" i="18"/>
  <c r="D34" i="17" s="1"/>
  <c r="M16" i="18"/>
  <c r="L16" i="18"/>
  <c r="L17" i="18"/>
  <c r="L18" i="18"/>
  <c r="H32" i="17" s="1"/>
  <c r="L19" i="18"/>
  <c r="J31" i="17" s="1"/>
  <c r="M18" i="18"/>
  <c r="F33" i="17" s="1"/>
  <c r="M24" i="18"/>
  <c r="G37" i="17" s="1"/>
  <c r="L23" i="18"/>
  <c r="M22" i="18"/>
  <c r="M11" i="18"/>
  <c r="M7" i="18"/>
  <c r="D18" i="17" s="1"/>
  <c r="L10" i="18"/>
  <c r="M6" i="18"/>
  <c r="E17" i="17" s="1"/>
  <c r="K37" i="17" l="1"/>
  <c r="L24" i="30"/>
  <c r="K24" i="30"/>
  <c r="E36" i="17"/>
  <c r="L21" i="30"/>
  <c r="K21" i="30"/>
  <c r="J33" i="17"/>
  <c r="L12" i="30"/>
  <c r="K12" i="30"/>
  <c r="H34" i="17"/>
  <c r="K15" i="30"/>
  <c r="L15" i="30"/>
  <c r="F31" i="17"/>
  <c r="L6" i="30"/>
  <c r="K6" i="30"/>
  <c r="D32" i="17"/>
  <c r="K9" i="30"/>
  <c r="L9" i="30"/>
  <c r="F26" i="17"/>
  <c r="G15" i="29"/>
  <c r="H15" i="29"/>
  <c r="G25" i="17"/>
  <c r="H12" i="29"/>
  <c r="G12" i="29"/>
  <c r="D24" i="17"/>
  <c r="G9" i="29"/>
  <c r="H9" i="29"/>
  <c r="E23" i="17"/>
  <c r="H6" i="29"/>
  <c r="G6" i="29"/>
  <c r="H9" i="14"/>
  <c r="G9" i="14"/>
  <c r="G17" i="17"/>
  <c r="H12" i="14"/>
  <c r="G12" i="14"/>
  <c r="F18" i="17"/>
  <c r="G15" i="14"/>
  <c r="H15" i="14"/>
  <c r="B42" i="17"/>
  <c r="B43" i="17"/>
  <c r="B44" i="17"/>
  <c r="E15" i="17"/>
  <c r="H6" i="14"/>
  <c r="G6" i="14"/>
  <c r="F169" i="23"/>
  <c r="E169" i="23"/>
  <c r="F155" i="23"/>
  <c r="F140" i="23"/>
  <c r="E140" i="23"/>
  <c r="F126" i="23"/>
  <c r="F111" i="23"/>
  <c r="E111" i="23"/>
  <c r="F97" i="23"/>
  <c r="F82" i="23"/>
  <c r="E82" i="23"/>
  <c r="F68" i="23"/>
  <c r="F53" i="23"/>
  <c r="E53" i="23"/>
  <c r="F39" i="23"/>
  <c r="F24" i="23"/>
  <c r="E24" i="23"/>
  <c r="F10" i="23"/>
  <c r="F169" i="22"/>
  <c r="E169" i="22"/>
  <c r="F155" i="22"/>
  <c r="F140" i="22"/>
  <c r="E140" i="22"/>
  <c r="F126" i="22"/>
  <c r="F111" i="22"/>
  <c r="E111" i="22"/>
  <c r="F97" i="22"/>
  <c r="F82" i="22"/>
  <c r="E82" i="22"/>
  <c r="F68" i="22"/>
  <c r="F53" i="22"/>
  <c r="E53" i="22"/>
  <c r="F39" i="22"/>
  <c r="F24" i="22"/>
  <c r="E24" i="22"/>
  <c r="F10" i="22"/>
  <c r="B45" i="17" l="1"/>
  <c r="H100" i="22"/>
  <c r="C100" i="22"/>
  <c r="H42" i="22"/>
  <c r="C42" i="22"/>
  <c r="H158" i="22"/>
  <c r="C158" i="22"/>
  <c r="H71" i="22"/>
  <c r="C71" i="22"/>
  <c r="H13" i="22"/>
  <c r="C13" i="22"/>
  <c r="H129" i="22"/>
  <c r="C129" i="22"/>
  <c r="C129" i="23"/>
  <c r="H129" i="23"/>
  <c r="C71" i="23"/>
  <c r="H71" i="23"/>
  <c r="H42" i="23"/>
  <c r="C42" i="23"/>
  <c r="H158" i="23"/>
  <c r="C158" i="23"/>
  <c r="C13" i="23"/>
  <c r="H13" i="23"/>
  <c r="H100" i="23"/>
  <c r="C100" i="23"/>
  <c r="F155" i="3"/>
  <c r="F126" i="3"/>
  <c r="F97" i="3"/>
  <c r="F68" i="3"/>
  <c r="F39" i="3"/>
  <c r="F10" i="3"/>
  <c r="F7" i="21"/>
  <c r="H333" i="23" s="1"/>
  <c r="E7" i="21"/>
  <c r="C333" i="23" s="1"/>
  <c r="F6" i="21"/>
  <c r="H304" i="23" s="1"/>
  <c r="E6" i="21"/>
  <c r="C304" i="23" s="1"/>
  <c r="F5" i="21"/>
  <c r="H275" i="23" s="1"/>
  <c r="E5" i="21"/>
  <c r="C275" i="23" s="1"/>
  <c r="F4" i="21"/>
  <c r="H246" i="23" s="1"/>
  <c r="E4" i="21"/>
  <c r="C246" i="23" s="1"/>
  <c r="F3" i="21"/>
  <c r="H217" i="23" s="1"/>
  <c r="E3" i="21"/>
  <c r="C217" i="23" s="1"/>
  <c r="F2" i="21"/>
  <c r="H188" i="23" s="1"/>
  <c r="E2" i="21"/>
  <c r="C188" i="23" s="1"/>
  <c r="H71" i="3" l="1"/>
  <c r="C71" i="3"/>
  <c r="H100" i="3"/>
  <c r="C100" i="3"/>
  <c r="C13" i="3"/>
  <c r="H13" i="3"/>
  <c r="H129" i="3"/>
  <c r="C129" i="3"/>
  <c r="H42" i="3"/>
  <c r="C42" i="3"/>
  <c r="C158" i="3"/>
  <c r="H158" i="3"/>
  <c r="C130" i="3"/>
  <c r="C130" i="22"/>
  <c r="C130" i="23"/>
  <c r="H72" i="23"/>
  <c r="H72" i="3"/>
  <c r="H72" i="22"/>
  <c r="C101" i="23"/>
  <c r="C101" i="3"/>
  <c r="C101" i="22"/>
  <c r="H101" i="3"/>
  <c r="H101" i="22"/>
  <c r="H101" i="23"/>
  <c r="H159" i="3"/>
  <c r="H159" i="22"/>
  <c r="H159" i="23"/>
  <c r="C72" i="3"/>
  <c r="C72" i="22"/>
  <c r="C72" i="23"/>
  <c r="H130" i="23"/>
  <c r="H130" i="3"/>
  <c r="H130" i="22"/>
  <c r="C159" i="23"/>
  <c r="C159" i="3"/>
  <c r="C159" i="22"/>
  <c r="H43" i="23"/>
  <c r="H43" i="3"/>
  <c r="H43" i="22"/>
  <c r="C43" i="3"/>
  <c r="C43" i="22"/>
  <c r="C43" i="23"/>
  <c r="H14" i="23"/>
  <c r="H14" i="22"/>
  <c r="H14" i="3"/>
  <c r="C14" i="23"/>
  <c r="C14" i="3"/>
  <c r="C14" i="22"/>
  <c r="A16" i="3" l="1"/>
  <c r="A15" i="3"/>
  <c r="A160" i="3"/>
  <c r="A161" i="3"/>
  <c r="B21" i="18"/>
  <c r="C21" i="18" s="1"/>
  <c r="B20" i="18"/>
  <c r="C20" i="18" s="1"/>
  <c r="B19" i="18"/>
  <c r="C19" i="18" s="1"/>
  <c r="B18" i="18"/>
  <c r="C18" i="18" s="1"/>
  <c r="B17" i="18"/>
  <c r="C17" i="18" s="1"/>
  <c r="B16" i="18"/>
  <c r="C16" i="18" s="1"/>
  <c r="B15" i="18"/>
  <c r="C15" i="18" s="1"/>
  <c r="B14" i="18"/>
  <c r="C14" i="18" s="1"/>
  <c r="B13" i="18"/>
  <c r="C13" i="18" s="1"/>
  <c r="B12" i="18"/>
  <c r="C12" i="18" s="1"/>
  <c r="B11" i="18"/>
  <c r="C11" i="18" s="1"/>
  <c r="B10" i="18"/>
  <c r="C10" i="18" s="1"/>
  <c r="B9" i="18"/>
  <c r="C9" i="18" s="1"/>
  <c r="B8" i="18"/>
  <c r="C8" i="18" s="1"/>
  <c r="B7" i="18"/>
  <c r="C7" i="18" s="1"/>
  <c r="B6" i="18"/>
  <c r="C6" i="18" s="1"/>
  <c r="B5" i="18"/>
  <c r="C5" i="18" s="1"/>
  <c r="B4" i="18"/>
  <c r="C4" i="18" s="1"/>
  <c r="J5" i="21" l="1"/>
  <c r="J4" i="21"/>
  <c r="J2" i="21"/>
  <c r="J6" i="21"/>
  <c r="J3" i="21"/>
  <c r="J7" i="21" l="1"/>
  <c r="H5" i="21"/>
  <c r="F280" i="23" s="1"/>
  <c r="H6" i="21"/>
  <c r="F309" i="23" s="1"/>
  <c r="H3" i="21"/>
  <c r="F222" i="23" s="1"/>
  <c r="H4" i="21"/>
  <c r="F251" i="23" s="1"/>
  <c r="G2" i="21"/>
  <c r="D193" i="23" s="1"/>
  <c r="I7" i="21"/>
  <c r="G7" i="21"/>
  <c r="D338" i="23" s="1"/>
  <c r="H19" i="19"/>
  <c r="C19" i="19"/>
  <c r="H18" i="19"/>
  <c r="C18" i="19"/>
  <c r="H17" i="19"/>
  <c r="C17" i="19"/>
  <c r="H16" i="19"/>
  <c r="C16" i="19"/>
  <c r="H15" i="19"/>
  <c r="C15" i="19"/>
  <c r="H14" i="19"/>
  <c r="C14" i="19"/>
  <c r="H13" i="19"/>
  <c r="C13" i="19"/>
  <c r="C12" i="19"/>
  <c r="H11" i="19"/>
  <c r="C11" i="19"/>
  <c r="H10" i="19"/>
  <c r="C10" i="19"/>
  <c r="H9" i="19"/>
  <c r="C9" i="19"/>
  <c r="H8" i="19"/>
  <c r="C8" i="19"/>
  <c r="H7" i="19"/>
  <c r="C7" i="19"/>
  <c r="H6" i="19"/>
  <c r="C6" i="19"/>
  <c r="H5" i="19"/>
  <c r="C5" i="19"/>
  <c r="H4" i="19"/>
  <c r="A27" i="30" l="1"/>
  <c r="A17" i="29"/>
  <c r="A12" i="29"/>
  <c r="A6" i="29"/>
  <c r="A11" i="29"/>
  <c r="A9" i="29"/>
  <c r="A15" i="30"/>
  <c r="A24" i="30"/>
  <c r="A15" i="29"/>
  <c r="A12" i="30"/>
  <c r="A21" i="30"/>
  <c r="A6" i="30"/>
  <c r="A9" i="30"/>
  <c r="A18" i="30"/>
  <c r="A73" i="3"/>
  <c r="A74" i="3"/>
  <c r="A15" i="14"/>
  <c r="A12" i="14"/>
  <c r="A9" i="14"/>
  <c r="A190" i="23"/>
  <c r="A189" i="23"/>
  <c r="F306" i="23"/>
  <c r="F247" i="23"/>
  <c r="A17" i="14"/>
  <c r="F218" i="23"/>
  <c r="F305" i="23"/>
  <c r="F189" i="23"/>
  <c r="A334" i="23"/>
  <c r="A335" i="23"/>
  <c r="A11" i="14"/>
  <c r="F334" i="23"/>
  <c r="F219" i="23"/>
  <c r="A218" i="23"/>
  <c r="F276" i="23"/>
  <c r="A247" i="23"/>
  <c r="A219" i="23"/>
  <c r="A248" i="23"/>
  <c r="A277" i="23"/>
  <c r="A305" i="23"/>
  <c r="F190" i="23"/>
  <c r="F335" i="23"/>
  <c r="A276" i="23"/>
  <c r="F248" i="23"/>
  <c r="A306" i="23"/>
  <c r="F277" i="23"/>
  <c r="A132" i="22"/>
  <c r="A131" i="22"/>
  <c r="A102" i="23"/>
  <c r="F74" i="23"/>
  <c r="F161" i="23"/>
  <c r="F16" i="23"/>
  <c r="F132" i="23"/>
  <c r="F44" i="23"/>
  <c r="F160" i="22"/>
  <c r="F131" i="22"/>
  <c r="F73" i="22"/>
  <c r="F44" i="22"/>
  <c r="A161" i="22"/>
  <c r="F160" i="23"/>
  <c r="F131" i="23"/>
  <c r="F132" i="22"/>
  <c r="A160" i="22"/>
  <c r="A73" i="22"/>
  <c r="A161" i="23"/>
  <c r="F102" i="23"/>
  <c r="A73" i="23"/>
  <c r="A45" i="23"/>
  <c r="A16" i="23"/>
  <c r="A131" i="23"/>
  <c r="A44" i="22"/>
  <c r="F103" i="22"/>
  <c r="A15" i="22"/>
  <c r="F16" i="22"/>
  <c r="A102" i="22"/>
  <c r="F73" i="23"/>
  <c r="F45" i="23"/>
  <c r="F74" i="22"/>
  <c r="A74" i="22"/>
  <c r="A160" i="23"/>
  <c r="F103" i="23"/>
  <c r="A74" i="23"/>
  <c r="A44" i="23"/>
  <c r="A15" i="23"/>
  <c r="A132" i="23"/>
  <c r="A45" i="22"/>
  <c r="F102" i="22"/>
  <c r="A16" i="22"/>
  <c r="F15" i="22"/>
  <c r="A103" i="22"/>
  <c r="A103" i="23"/>
  <c r="F15" i="23"/>
  <c r="F161" i="22"/>
  <c r="F45" i="22"/>
  <c r="F16" i="3"/>
  <c r="A131" i="3"/>
  <c r="F161" i="3"/>
  <c r="A44" i="3"/>
  <c r="F44" i="3"/>
  <c r="F131" i="3"/>
  <c r="F15" i="3"/>
  <c r="A132" i="3"/>
  <c r="F160" i="3"/>
  <c r="A45" i="3"/>
  <c r="F74" i="3"/>
  <c r="F45" i="3"/>
  <c r="F103" i="3"/>
  <c r="F132" i="3"/>
  <c r="A102" i="3"/>
  <c r="F73" i="3"/>
  <c r="F102" i="3"/>
  <c r="A103" i="3"/>
  <c r="D9" i="18"/>
  <c r="D6" i="18"/>
  <c r="D4" i="18"/>
  <c r="D11" i="18"/>
  <c r="D14" i="18"/>
  <c r="E12" i="18"/>
  <c r="E15" i="18"/>
  <c r="E13" i="18"/>
  <c r="E11" i="18"/>
  <c r="D21" i="18"/>
  <c r="D16" i="18"/>
  <c r="D18" i="18"/>
  <c r="E18" i="18"/>
  <c r="D20" i="18"/>
  <c r="D17" i="18"/>
  <c r="E7" i="18"/>
  <c r="E5" i="18"/>
  <c r="E9" i="18"/>
  <c r="D12" i="18"/>
  <c r="D15" i="18"/>
  <c r="D10" i="18"/>
  <c r="E24" i="18"/>
  <c r="D23" i="18"/>
  <c r="D26" i="18"/>
  <c r="E23" i="18"/>
  <c r="E27" i="18"/>
  <c r="E25" i="18"/>
  <c r="D8" i="18"/>
  <c r="E6" i="18"/>
  <c r="D5" i="18"/>
  <c r="E17" i="18"/>
  <c r="E19" i="18"/>
  <c r="E21" i="18"/>
  <c r="D24" i="18"/>
  <c r="D22" i="18"/>
  <c r="D27" i="18"/>
  <c r="D25" i="18"/>
  <c r="E26" i="18"/>
  <c r="E22" i="18"/>
  <c r="E16" i="18"/>
  <c r="D19" i="18"/>
  <c r="E20" i="18"/>
  <c r="E10" i="18"/>
  <c r="E14" i="18"/>
  <c r="D13" i="18"/>
  <c r="E8" i="18"/>
  <c r="E4" i="18"/>
  <c r="D7" i="18"/>
  <c r="F135" i="3"/>
  <c r="F135" i="22"/>
  <c r="F135" i="23"/>
  <c r="F106" i="23"/>
  <c r="F106" i="22"/>
  <c r="F106" i="3"/>
  <c r="F77" i="3"/>
  <c r="F77" i="22"/>
  <c r="F77" i="23"/>
  <c r="D164" i="3"/>
  <c r="D164" i="22"/>
  <c r="D164" i="23"/>
  <c r="F48" i="23"/>
  <c r="F48" i="3"/>
  <c r="F48" i="22"/>
  <c r="D19" i="23"/>
  <c r="D19" i="3"/>
  <c r="D19" i="22"/>
  <c r="A23" i="17"/>
  <c r="A35" i="17"/>
  <c r="A24" i="17"/>
  <c r="A36" i="17"/>
  <c r="A25" i="17"/>
  <c r="A37" i="17"/>
  <c r="A26" i="17"/>
  <c r="A38" i="17"/>
  <c r="A15" i="17"/>
  <c r="A31" i="17"/>
  <c r="A16" i="17"/>
  <c r="A32" i="17"/>
  <c r="A17" i="17"/>
  <c r="A33" i="17"/>
  <c r="A18" i="17"/>
  <c r="A34" i="17"/>
  <c r="H7" i="21"/>
  <c r="F338" i="23" s="1"/>
  <c r="I5" i="21"/>
  <c r="G5" i="21"/>
  <c r="D280" i="23" s="1"/>
  <c r="G6" i="21"/>
  <c r="D309" i="23" s="1"/>
  <c r="G4" i="21"/>
  <c r="D251" i="23" s="1"/>
  <c r="G3" i="21"/>
  <c r="D222" i="23" s="1"/>
  <c r="I3" i="21"/>
  <c r="I6" i="21"/>
  <c r="I4" i="21"/>
  <c r="H2" i="21"/>
  <c r="F193" i="23" s="1"/>
  <c r="I2" i="21"/>
  <c r="D77" i="23" l="1"/>
  <c r="D77" i="3"/>
  <c r="D77" i="22"/>
  <c r="D135" i="23"/>
  <c r="D135" i="3"/>
  <c r="D135" i="22"/>
  <c r="D106" i="3"/>
  <c r="D106" i="22"/>
  <c r="D106" i="23"/>
  <c r="F164" i="23"/>
  <c r="F164" i="3"/>
  <c r="F164" i="22"/>
  <c r="D48" i="23"/>
  <c r="D48" i="3"/>
  <c r="D48" i="22"/>
  <c r="F19" i="23"/>
  <c r="F19" i="3"/>
  <c r="F19" i="22"/>
  <c r="H16" i="17"/>
  <c r="C5" i="17" s="1"/>
  <c r="H17" i="17"/>
  <c r="D5" i="17" s="1"/>
  <c r="L32" i="17"/>
  <c r="C7" i="17" s="1"/>
  <c r="H24" i="17"/>
  <c r="C6" i="17" s="1"/>
  <c r="H15" i="17"/>
  <c r="B5" i="17" s="1"/>
  <c r="H18" i="17"/>
  <c r="E5" i="17" s="1"/>
  <c r="H26" i="17"/>
  <c r="E6" i="17" s="1"/>
  <c r="H23" i="17"/>
  <c r="B6" i="17" s="1"/>
  <c r="H25" i="17"/>
  <c r="D6" i="17" s="1"/>
  <c r="L31" i="17"/>
  <c r="B7" i="17" s="1"/>
  <c r="I12" i="19"/>
  <c r="L34" i="17"/>
  <c r="E7" i="17" s="1"/>
  <c r="L38" i="17"/>
  <c r="E8" i="17" s="1"/>
  <c r="L35" i="17"/>
  <c r="B8" i="17" s="1"/>
  <c r="L37" i="17"/>
  <c r="D8" i="17" s="1"/>
  <c r="K9" i="19"/>
  <c r="I8" i="19"/>
  <c r="K14" i="19"/>
  <c r="J18" i="19"/>
  <c r="J11" i="19"/>
  <c r="K13" i="19"/>
  <c r="K4" i="19"/>
  <c r="I6" i="19"/>
  <c r="K11" i="19"/>
  <c r="I19" i="19"/>
  <c r="J19" i="19"/>
  <c r="K7" i="19"/>
  <c r="K18" i="19"/>
  <c r="I16" i="19"/>
  <c r="J14" i="19"/>
  <c r="J7" i="19"/>
  <c r="I9" i="19"/>
  <c r="I13" i="19"/>
  <c r="I18" i="19"/>
  <c r="J4" i="19"/>
  <c r="L36" i="17"/>
  <c r="C8" i="17" s="1"/>
  <c r="L33" i="17"/>
  <c r="D7" i="17" s="1"/>
  <c r="K6" i="19"/>
  <c r="K17" i="19"/>
  <c r="I11" i="19"/>
  <c r="J6" i="19"/>
  <c r="J17" i="19"/>
  <c r="J9" i="19"/>
  <c r="I10" i="19"/>
  <c r="K15" i="19"/>
  <c r="J15" i="19"/>
  <c r="K10" i="19"/>
  <c r="I4" i="19"/>
  <c r="I15" i="19"/>
  <c r="J10" i="19"/>
  <c r="K5" i="19"/>
  <c r="K16" i="19"/>
  <c r="K8" i="19"/>
  <c r="K19" i="19"/>
  <c r="I5" i="19"/>
  <c r="J16" i="19"/>
  <c r="J8" i="19"/>
  <c r="J13" i="19"/>
  <c r="J5" i="19"/>
  <c r="I17" i="19"/>
  <c r="I14" i="19"/>
  <c r="I7" i="19"/>
  <c r="K12" i="19"/>
  <c r="J12" i="19"/>
  <c r="M15" i="19" l="1"/>
  <c r="L11" i="19"/>
  <c r="M11" i="19"/>
  <c r="M7" i="19"/>
  <c r="L15" i="19"/>
  <c r="L19" i="19"/>
  <c r="M19" i="19"/>
  <c r="L7" i="19"/>
  <c r="C10" i="17"/>
  <c r="B10" i="17"/>
  <c r="E10" i="17"/>
  <c r="D10" i="17"/>
  <c r="N15" i="19" l="1"/>
  <c r="N7" i="19"/>
  <c r="N19" i="19"/>
  <c r="N11" i="19"/>
  <c r="F169" i="3"/>
  <c r="E169" i="3"/>
  <c r="F140" i="3"/>
  <c r="E140" i="3"/>
  <c r="F111" i="3"/>
  <c r="E111" i="3"/>
  <c r="F82" i="3"/>
  <c r="E82" i="3"/>
  <c r="F53" i="3"/>
  <c r="E53" i="3"/>
  <c r="F24" i="3"/>
  <c r="E24" i="3"/>
</calcChain>
</file>

<file path=xl/sharedStrings.xml><?xml version="1.0" encoding="utf-8"?>
<sst xmlns="http://schemas.openxmlformats.org/spreadsheetml/2006/main" count="752" uniqueCount="162">
  <si>
    <t>1A</t>
  </si>
  <si>
    <t>1B</t>
  </si>
  <si>
    <t>2A</t>
  </si>
  <si>
    <t>2B</t>
  </si>
  <si>
    <t>3A</t>
  </si>
  <si>
    <t>3B</t>
  </si>
  <si>
    <t>MENS DOUBLES</t>
  </si>
  <si>
    <t>LADIES DOUBLES</t>
  </si>
  <si>
    <t>MIXED DOUBLES</t>
  </si>
  <si>
    <t>M1</t>
  </si>
  <si>
    <t>L1</t>
  </si>
  <si>
    <t>M2</t>
  </si>
  <si>
    <t>M3</t>
  </si>
  <si>
    <t>L2</t>
  </si>
  <si>
    <t>M4</t>
  </si>
  <si>
    <t>M5</t>
  </si>
  <si>
    <t>L3</t>
  </si>
  <si>
    <t>L4</t>
  </si>
  <si>
    <t>M6</t>
  </si>
  <si>
    <t>L5</t>
  </si>
  <si>
    <t>L6</t>
  </si>
  <si>
    <t>Marjorie Consterdine Memorial Tournament</t>
  </si>
  <si>
    <t>MATCH SCORE SLIP</t>
  </si>
  <si>
    <t>To be returned to the referee IMMEDIATELY on completion of the match</t>
  </si>
  <si>
    <t>Versus</t>
  </si>
  <si>
    <t>Event:</t>
  </si>
  <si>
    <t xml:space="preserve">      Match No:</t>
  </si>
  <si>
    <t>Division:</t>
  </si>
  <si>
    <t>Handicap:</t>
  </si>
  <si>
    <t>RESULT</t>
  </si>
  <si>
    <t>1st Game</t>
  </si>
  <si>
    <t>2nd Game</t>
  </si>
  <si>
    <t>Points</t>
  </si>
  <si>
    <t>Mens</t>
  </si>
  <si>
    <t>Ladies</t>
  </si>
  <si>
    <t>4A</t>
  </si>
  <si>
    <t>4B</t>
  </si>
  <si>
    <t>1 v 2</t>
  </si>
  <si>
    <t>1 v 3</t>
  </si>
  <si>
    <t>1 v 4</t>
  </si>
  <si>
    <t>2 v 3</t>
  </si>
  <si>
    <t>3 v 4</t>
  </si>
  <si>
    <t>2 v 4</t>
  </si>
  <si>
    <t>Manchester Badminton League</t>
  </si>
  <si>
    <t>START</t>
  </si>
  <si>
    <t>Mixed A</t>
  </si>
  <si>
    <t>Mixed B</t>
  </si>
  <si>
    <t>Overall</t>
  </si>
  <si>
    <t>Division</t>
  </si>
  <si>
    <t>Totals</t>
  </si>
  <si>
    <t>Mens Doubles</t>
  </si>
  <si>
    <t>M</t>
  </si>
  <si>
    <t>Total</t>
  </si>
  <si>
    <t>Ladies Doubles</t>
  </si>
  <si>
    <t>L</t>
  </si>
  <si>
    <t>Mixed Doubles</t>
  </si>
  <si>
    <t>Mx</t>
  </si>
  <si>
    <t>Match Results</t>
  </si>
  <si>
    <t>Match No</t>
  </si>
  <si>
    <t>Match</t>
  </si>
  <si>
    <t>Match ID</t>
  </si>
  <si>
    <t>Pair 1</t>
  </si>
  <si>
    <t>Pair 2</t>
  </si>
  <si>
    <t>Handicap Pair 1</t>
  </si>
  <si>
    <t>Handicap Pair 2</t>
  </si>
  <si>
    <t>Adjusted Pair 1</t>
  </si>
  <si>
    <t>Adjusted Pair 2</t>
  </si>
  <si>
    <t>Game 1 Pair 1</t>
  </si>
  <si>
    <t>Game 1 Pair 2</t>
  </si>
  <si>
    <t>Game 2 Pair 1</t>
  </si>
  <si>
    <t>Points Pair 1</t>
  </si>
  <si>
    <t>Points Pair 2</t>
  </si>
  <si>
    <t>Players</t>
  </si>
  <si>
    <t>Pair</t>
  </si>
  <si>
    <t>Player 1</t>
  </si>
  <si>
    <t>Player 2</t>
  </si>
  <si>
    <t>Player ID</t>
  </si>
  <si>
    <t>Games Won</t>
  </si>
  <si>
    <t>Points Won</t>
  </si>
  <si>
    <t>Points Conceded</t>
  </si>
  <si>
    <t>MxA</t>
  </si>
  <si>
    <t>MxB</t>
  </si>
  <si>
    <t>Handicap</t>
  </si>
  <si>
    <t>P1 Change End</t>
  </si>
  <si>
    <t>P2 Change End</t>
  </si>
  <si>
    <t>DIV</t>
  </si>
  <si>
    <t>PLAYERS</t>
  </si>
  <si>
    <t>Pair 1 Div</t>
  </si>
  <si>
    <t>Pair 2 Div</t>
  </si>
  <si>
    <t>-</t>
  </si>
  <si>
    <t>Player 1 Club</t>
  </si>
  <si>
    <t>Player 2 Club</t>
  </si>
  <si>
    <t>Won</t>
  </si>
  <si>
    <t>Conceded</t>
  </si>
  <si>
    <t>Divisional Total Points</t>
  </si>
  <si>
    <t>Game 1 Diff</t>
  </si>
  <si>
    <t>Game 2 Diff</t>
  </si>
  <si>
    <t>No. of 21-20 Games</t>
  </si>
  <si>
    <t>No. of 21-19 Games</t>
  </si>
  <si>
    <t>No. of 21-18 Games</t>
  </si>
  <si>
    <t>% of close games</t>
  </si>
  <si>
    <t>Close Games</t>
  </si>
  <si>
    <t>MxA1</t>
  </si>
  <si>
    <t>MxA2</t>
  </si>
  <si>
    <t>MxA3</t>
  </si>
  <si>
    <t>MxA4</t>
  </si>
  <si>
    <t>MxA5</t>
  </si>
  <si>
    <t>MxA6</t>
  </si>
  <si>
    <t>MxB1</t>
  </si>
  <si>
    <t>MxB2</t>
  </si>
  <si>
    <t>MxB3</t>
  </si>
  <si>
    <t>MxB4</t>
  </si>
  <si>
    <t>MxB5</t>
  </si>
  <si>
    <t>MxB6</t>
  </si>
  <si>
    <t>Hema Mistry</t>
  </si>
  <si>
    <t>Katie Donegan</t>
  </si>
  <si>
    <t>Medlock</t>
  </si>
  <si>
    <t>Jetmond Ma</t>
  </si>
  <si>
    <t>Yu Hin Wong</t>
  </si>
  <si>
    <t>ACE</t>
  </si>
  <si>
    <t>Pasha Riley</t>
  </si>
  <si>
    <t>Avril Sloane</t>
  </si>
  <si>
    <t>Yeti</t>
  </si>
  <si>
    <t>Helen Yates</t>
  </si>
  <si>
    <t>Blue Triangle</t>
  </si>
  <si>
    <t>Janine Lancashire</t>
  </si>
  <si>
    <t>Cheadle Hulme</t>
  </si>
  <si>
    <t>Anne Tang</t>
  </si>
  <si>
    <t>Stephanie Wyatt</t>
  </si>
  <si>
    <t>Nettles</t>
  </si>
  <si>
    <t>Sally Dowgill</t>
  </si>
  <si>
    <t>Silver Feather</t>
  </si>
  <si>
    <t>Henry Noorveriandi</t>
  </si>
  <si>
    <t>MARJORIE CONSTERDINE TOURNAMENT - 2025</t>
  </si>
  <si>
    <t>MARJORIE CONSTERDINE TOURNAMENT - 2025 Players</t>
  </si>
  <si>
    <t>Roshan Jahangir</t>
  </si>
  <si>
    <t>Ji Qiao</t>
  </si>
  <si>
    <t>Kerry Kirkwood</t>
  </si>
  <si>
    <t>Forest</t>
  </si>
  <si>
    <t>Dave Edgar</t>
  </si>
  <si>
    <t>Jake White</t>
  </si>
  <si>
    <t>Lisa Edgar</t>
  </si>
  <si>
    <t>Manchester Edgeley</t>
  </si>
  <si>
    <t>Julie Leeming</t>
  </si>
  <si>
    <t>James Kee</t>
  </si>
  <si>
    <t>Catriona Golds</t>
  </si>
  <si>
    <t>Rachel Flood</t>
  </si>
  <si>
    <t>Ryan Tai</t>
  </si>
  <si>
    <t>Dome</t>
  </si>
  <si>
    <t>Michael Featherstone</t>
  </si>
  <si>
    <t>Araadhna Singh</t>
  </si>
  <si>
    <t>Hannah Burke</t>
  </si>
  <si>
    <t>Emily Stapley</t>
  </si>
  <si>
    <t>Duncan Hurlstone</t>
  </si>
  <si>
    <t>Lesley Fryer</t>
  </si>
  <si>
    <t>Andy Foy</t>
  </si>
  <si>
    <t>Jahangir Hussain</t>
  </si>
  <si>
    <t>Jahangir Hussain stood in for Harry Diss who retired injured</t>
  </si>
  <si>
    <t>Difference</t>
  </si>
  <si>
    <t>Rob Kirkpatrick</t>
  </si>
  <si>
    <t>No. of split Games</t>
  </si>
  <si>
    <t>Total No. of 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</si>
</sst>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#,##0_ ;\-#,##0\ "/>
    <numFmt numFmtId="165" formatCode="0.0%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  <font>
      <sz val="14"/>
      <color indexed="8"/>
      <name val="Tahoma"/>
      <family val="2"/>
    </font>
    <font>
      <sz val="20"/>
      <color indexed="8"/>
      <name val="Tahoma"/>
      <family val="2"/>
    </font>
    <font>
      <sz val="11"/>
      <color indexed="8"/>
      <name val="Tahoma"/>
      <family val="2"/>
    </font>
    <font>
      <sz val="8"/>
      <color indexed="8"/>
      <name val="Tahoma"/>
      <family val="2"/>
    </font>
    <font>
      <b/>
      <sz val="11"/>
      <color indexed="8"/>
      <name val="Arial"/>
      <family val="2"/>
    </font>
    <font>
      <b/>
      <sz val="11"/>
      <color indexed="8"/>
      <name val="Tahoma"/>
      <family val="2"/>
    </font>
    <font>
      <sz val="16"/>
      <color indexed="8"/>
      <name val="Tahoma"/>
      <family val="2"/>
    </font>
    <font>
      <sz val="8"/>
      <name val="Calibri"/>
      <family val="2"/>
    </font>
    <font>
      <sz val="14"/>
      <color indexed="8"/>
      <name val="Calibri"/>
      <family val="2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16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6" fillId="0" borderId="0" xfId="0" applyFont="1"/>
    <xf numFmtId="0" fontId="0" fillId="0" borderId="1" xfId="0" applyBorder="1" applyAlignment="1">
      <alignment vertic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quotePrefix="1" applyBorder="1" applyAlignment="1" applyProtection="1">
      <alignment vertical="center"/>
      <protection locked="0"/>
    </xf>
    <xf numFmtId="0" fontId="19" fillId="0" borderId="0" xfId="0" quotePrefix="1" applyFont="1"/>
    <xf numFmtId="165" fontId="21" fillId="0" borderId="0" xfId="0" applyNumberFormat="1" applyFont="1" applyAlignment="1">
      <alignment vertical="center"/>
    </xf>
    <xf numFmtId="0" fontId="21" fillId="0" borderId="5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23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urrency" xfId="1" builtinId="4"/>
    <cellStyle name="Normal" xfId="0" builtinId="0"/>
  </cellStyles>
  <dxfs count="11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38100</xdr:rowOff>
    </xdr:from>
    <xdr:to>
      <xdr:col>0</xdr:col>
      <xdr:colOff>0</xdr:colOff>
      <xdr:row>23</xdr:row>
      <xdr:rowOff>0</xdr:rowOff>
    </xdr:to>
    <xdr:sp macro="" textlink="">
      <xdr:nvSpPr>
        <xdr:cNvPr id="2133" name="Line 38">
          <a:extLst>
            <a:ext uri="{FF2B5EF4-FFF2-40B4-BE49-F238E27FC236}">
              <a16:creationId xmlns:a16="http://schemas.microsoft.com/office/drawing/2014/main" id="{00000000-0008-0000-0400-000055080000}"/>
            </a:ext>
          </a:extLst>
        </xdr:cNvPr>
        <xdr:cNvSpPr>
          <a:spLocks noChangeShapeType="1"/>
        </xdr:cNvSpPr>
      </xdr:nvSpPr>
      <xdr:spPr bwMode="auto">
        <a:xfrm>
          <a:off x="0" y="2409825"/>
          <a:ext cx="0" cy="179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38100</xdr:rowOff>
    </xdr:from>
    <xdr:to>
      <xdr:col>0</xdr:col>
      <xdr:colOff>0</xdr:colOff>
      <xdr:row>23</xdr:row>
      <xdr:rowOff>0</xdr:rowOff>
    </xdr:to>
    <xdr:sp macro="" textlink="">
      <xdr:nvSpPr>
        <xdr:cNvPr id="2" name="Line 38">
          <a:extLst>
            <a:ext uri="{FF2B5EF4-FFF2-40B4-BE49-F238E27FC236}">
              <a16:creationId xmlns:a16="http://schemas.microsoft.com/office/drawing/2014/main" id="{DFEFA1C1-A6B7-4709-9B4C-D4A13D4A7AEE}"/>
            </a:ext>
          </a:extLst>
        </xdr:cNvPr>
        <xdr:cNvSpPr>
          <a:spLocks noChangeShapeType="1"/>
        </xdr:cNvSpPr>
      </xdr:nvSpPr>
      <xdr:spPr bwMode="auto">
        <a:xfrm>
          <a:off x="0" y="2409825"/>
          <a:ext cx="0" cy="179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38100</xdr:rowOff>
    </xdr:from>
    <xdr:to>
      <xdr:col>0</xdr:col>
      <xdr:colOff>0</xdr:colOff>
      <xdr:row>23</xdr:row>
      <xdr:rowOff>0</xdr:rowOff>
    </xdr:to>
    <xdr:sp macro="" textlink="">
      <xdr:nvSpPr>
        <xdr:cNvPr id="2" name="Line 38">
          <a:extLst>
            <a:ext uri="{FF2B5EF4-FFF2-40B4-BE49-F238E27FC236}">
              <a16:creationId xmlns:a16="http://schemas.microsoft.com/office/drawing/2014/main" id="{F13D8AB0-6D80-4F5C-A4EF-28ADA05C09EA}"/>
            </a:ext>
          </a:extLst>
        </xdr:cNvPr>
        <xdr:cNvSpPr>
          <a:spLocks noChangeShapeType="1"/>
        </xdr:cNvSpPr>
      </xdr:nvSpPr>
      <xdr:spPr bwMode="auto">
        <a:xfrm>
          <a:off x="0" y="2409825"/>
          <a:ext cx="0" cy="1790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38100</xdr:rowOff>
    </xdr:from>
    <xdr:to>
      <xdr:col>0</xdr:col>
      <xdr:colOff>0</xdr:colOff>
      <xdr:row>20</xdr:row>
      <xdr:rowOff>57150</xdr:rowOff>
    </xdr:to>
    <xdr:sp macro="" textlink="">
      <xdr:nvSpPr>
        <xdr:cNvPr id="5204" name="Line 38">
          <a:extLst>
            <a:ext uri="{FF2B5EF4-FFF2-40B4-BE49-F238E27FC236}">
              <a16:creationId xmlns:a16="http://schemas.microsoft.com/office/drawing/2014/main" id="{00000000-0008-0000-0700-000054140000}"/>
            </a:ext>
          </a:extLst>
        </xdr:cNvPr>
        <xdr:cNvSpPr>
          <a:spLocks noChangeShapeType="1"/>
        </xdr:cNvSpPr>
      </xdr:nvSpPr>
      <xdr:spPr bwMode="auto">
        <a:xfrm>
          <a:off x="0" y="2409825"/>
          <a:ext cx="0" cy="1714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49"/>
  <sheetViews>
    <sheetView tabSelected="1" zoomScale="85" zoomScaleNormal="85" workbookViewId="0"/>
  </sheetViews>
  <sheetFormatPr defaultRowHeight="15.75" x14ac:dyDescent="0.25"/>
  <cols>
    <col min="1" max="1" width="26.7109375" style="27" customWidth="1"/>
    <col min="2" max="2" width="9.140625" style="27" customWidth="1"/>
    <col min="3" max="3" width="9.140625" style="27"/>
    <col min="4" max="5" width="9.140625" style="27" customWidth="1"/>
    <col min="6" max="16384" width="9.140625" style="27"/>
  </cols>
  <sheetData>
    <row r="1" spans="1:11" s="26" customFormat="1" ht="30" customHeight="1" x14ac:dyDescent="0.35">
      <c r="A1" s="39" t="s">
        <v>133</v>
      </c>
      <c r="B1"/>
      <c r="C1"/>
      <c r="D1"/>
      <c r="E1"/>
      <c r="F1"/>
      <c r="G1"/>
      <c r="H1"/>
      <c r="I1"/>
      <c r="J1"/>
      <c r="K1"/>
    </row>
    <row r="3" spans="1:11" ht="21.75" customHeight="1" x14ac:dyDescent="0.25">
      <c r="A3" s="71" t="s">
        <v>47</v>
      </c>
      <c r="B3" s="65"/>
      <c r="C3" s="65"/>
      <c r="D3" s="65"/>
      <c r="E3" s="65"/>
    </row>
    <row r="4" spans="1:11" x14ac:dyDescent="0.25">
      <c r="A4" s="28" t="s">
        <v>48</v>
      </c>
      <c r="B4" s="29">
        <v>1</v>
      </c>
      <c r="C4" s="29">
        <v>2</v>
      </c>
      <c r="D4" s="29">
        <v>3</v>
      </c>
      <c r="E4" s="29">
        <v>4</v>
      </c>
    </row>
    <row r="5" spans="1:11" x14ac:dyDescent="0.25">
      <c r="A5" s="30" t="s">
        <v>33</v>
      </c>
      <c r="B5" s="31">
        <f>$H15</f>
        <v>1</v>
      </c>
      <c r="C5" s="31">
        <f>$H16</f>
        <v>6</v>
      </c>
      <c r="D5" s="31">
        <f>$H17</f>
        <v>2</v>
      </c>
      <c r="E5" s="31">
        <f>$H18</f>
        <v>3</v>
      </c>
    </row>
    <row r="6" spans="1:11" x14ac:dyDescent="0.25">
      <c r="A6" s="30" t="s">
        <v>34</v>
      </c>
      <c r="B6" s="31">
        <f>$H23</f>
        <v>5</v>
      </c>
      <c r="C6" s="31">
        <f>$H24</f>
        <v>1</v>
      </c>
      <c r="D6" s="31">
        <f>$H25</f>
        <v>3</v>
      </c>
      <c r="E6" s="31">
        <f>$H26</f>
        <v>3</v>
      </c>
    </row>
    <row r="7" spans="1:11" x14ac:dyDescent="0.25">
      <c r="A7" s="30" t="s">
        <v>45</v>
      </c>
      <c r="B7" s="31">
        <f>$L31</f>
        <v>2</v>
      </c>
      <c r="C7" s="31">
        <f>$L32</f>
        <v>2</v>
      </c>
      <c r="D7" s="31">
        <f>$L33</f>
        <v>3</v>
      </c>
      <c r="E7" s="31">
        <f>$L34</f>
        <v>5</v>
      </c>
    </row>
    <row r="8" spans="1:11" x14ac:dyDescent="0.25">
      <c r="A8" s="30" t="s">
        <v>46</v>
      </c>
      <c r="B8" s="31">
        <f>$L35</f>
        <v>5</v>
      </c>
      <c r="C8" s="31">
        <f>$L36</f>
        <v>0</v>
      </c>
      <c r="D8" s="31">
        <f>$L37</f>
        <v>2</v>
      </c>
      <c r="E8" s="31">
        <f>$L38</f>
        <v>5</v>
      </c>
    </row>
    <row r="9" spans="1:11" x14ac:dyDescent="0.25">
      <c r="A9" s="32"/>
      <c r="B9" s="33"/>
      <c r="C9" s="33"/>
      <c r="D9" s="33"/>
      <c r="E9" s="33"/>
    </row>
    <row r="10" spans="1:11" x14ac:dyDescent="0.25">
      <c r="A10" s="28" t="s">
        <v>49</v>
      </c>
      <c r="B10" s="31">
        <f>SUM(B5:B8)</f>
        <v>13</v>
      </c>
      <c r="C10" s="31">
        <f>SUM(C5:C8)</f>
        <v>9</v>
      </c>
      <c r="D10" s="31">
        <f>SUM(D5:D8)</f>
        <v>10</v>
      </c>
      <c r="E10" s="31">
        <f>SUM(E5:E8)</f>
        <v>16</v>
      </c>
    </row>
    <row r="13" spans="1:11" ht="21.75" customHeight="1" x14ac:dyDescent="0.25">
      <c r="A13" s="66" t="s">
        <v>50</v>
      </c>
      <c r="B13" s="67"/>
      <c r="C13" s="68"/>
      <c r="D13" s="69"/>
      <c r="E13" s="69"/>
      <c r="F13" s="69"/>
      <c r="G13" s="69"/>
      <c r="H13" s="63"/>
    </row>
    <row r="14" spans="1:11" x14ac:dyDescent="0.25">
      <c r="A14" s="72" t="s">
        <v>51</v>
      </c>
      <c r="B14" s="65"/>
      <c r="C14" s="29" t="s">
        <v>48</v>
      </c>
      <c r="D14" s="29">
        <v>1</v>
      </c>
      <c r="E14" s="29">
        <v>2</v>
      </c>
      <c r="F14" s="29">
        <v>3</v>
      </c>
      <c r="G14" s="29">
        <v>4</v>
      </c>
      <c r="H14" s="29" t="s">
        <v>52</v>
      </c>
    </row>
    <row r="15" spans="1:11" x14ac:dyDescent="0.25">
      <c r="A15" s="64" t="str">
        <f>VLOOKUP($C15&amp;$A$14,Players!$C:$H,6,FALSE)</f>
        <v>Jake White &amp; Dave Edgar</v>
      </c>
      <c r="B15" s="65"/>
      <c r="C15" s="29">
        <v>1</v>
      </c>
      <c r="D15" s="31" t="str">
        <f>IF($C15=D$14,"-",IF($C15&lt;D$14,VLOOKUP($A$14&amp;$C15&amp;" v "&amp;D$14,'Match Results'!$C:$M,10,FALSE),VLOOKUP($A$14&amp;D$14&amp;" v "&amp;$C15,'Match Results'!$C:$M,11,FALSE)))</f>
        <v>-</v>
      </c>
      <c r="E15" s="31">
        <f>IF($C15=E$14,"-",IF($C15&lt;E$14,VLOOKUP($A$14&amp;$C15&amp;" v "&amp;E$14,'Match Results'!$C:$M,10,FALSE),VLOOKUP($A$14&amp;E$14&amp;" v "&amp;$C15,'Match Results'!$C:$M,11,FALSE)))</f>
        <v>0</v>
      </c>
      <c r="F15" s="31">
        <f>IF($C15=F$14,"-",IF($C15&lt;F$14,VLOOKUP($A$14&amp;$C15&amp;" v "&amp;F$14,'Match Results'!$C:$M,10,FALSE),VLOOKUP($A$14&amp;F$14&amp;" v "&amp;$C15,'Match Results'!$C:$M,11,FALSE)))</f>
        <v>1</v>
      </c>
      <c r="G15" s="31">
        <f>IF($C15=G$14,"-",IF($C15&lt;G$14,VLOOKUP($A$14&amp;$C15&amp;" v "&amp;G$14,'Match Results'!$C:$M,10,FALSE),VLOOKUP($A$14&amp;G$14&amp;" v "&amp;$C15,'Match Results'!$C:$M,11,FALSE)))</f>
        <v>0</v>
      </c>
      <c r="H15" s="31">
        <f>SUM(D15:G15)</f>
        <v>1</v>
      </c>
    </row>
    <row r="16" spans="1:11" x14ac:dyDescent="0.25">
      <c r="A16" s="64" t="str">
        <f>VLOOKUP($C16&amp;$A$14,Players!$C:$H,6,FALSE)</f>
        <v>Michael Featherstone &amp; Ryan Tai</v>
      </c>
      <c r="B16" s="65"/>
      <c r="C16" s="29">
        <v>2</v>
      </c>
      <c r="D16" s="31">
        <f>IF($C16=D$14,"-",IF($C16&lt;D$14,VLOOKUP($A$14&amp;$C16&amp;" v "&amp;D$14,'Match Results'!$C:$M,10,FALSE),VLOOKUP($A$14&amp;D$14&amp;" v "&amp;$C16,'Match Results'!$C:$M,11,FALSE)))</f>
        <v>2</v>
      </c>
      <c r="E16" s="31" t="str">
        <f>IF($C16=E$14,"-",IF($C16&lt;E$14,VLOOKUP($A$14&amp;$C16&amp;" v "&amp;E$14,'Match Results'!$C:$M,10,FALSE),VLOOKUP($A$14&amp;E$14&amp;" v "&amp;$C16,'Match Results'!$C:$M,11,FALSE)))</f>
        <v>-</v>
      </c>
      <c r="F16" s="31">
        <f>IF($C16=F$14,"-",IF($C16&lt;F$14,VLOOKUP($A$14&amp;$C16&amp;" v "&amp;F$14,'Match Results'!$C:$M,10,FALSE),VLOOKUP($A$14&amp;F$14&amp;" v "&amp;$C16,'Match Results'!$C:$M,11,FALSE)))</f>
        <v>2</v>
      </c>
      <c r="G16" s="31">
        <f>IF($C16=G$14,"-",IF($C16&lt;G$14,VLOOKUP($A$14&amp;$C16&amp;" v "&amp;G$14,'Match Results'!$C:$M,10,FALSE),VLOOKUP($A$14&amp;G$14&amp;" v "&amp;$C16,'Match Results'!$C:$M,11,FALSE)))</f>
        <v>2</v>
      </c>
      <c r="H16" s="31">
        <f t="shared" ref="H16:H18" si="0">SUM(D16:G16)</f>
        <v>6</v>
      </c>
    </row>
    <row r="17" spans="1:12" x14ac:dyDescent="0.25">
      <c r="A17" s="64" t="str">
        <f>VLOOKUP($C17&amp;$A$14,Players!$C:$H,6,FALSE)</f>
        <v>Jetmond Ma &amp; Yu Hin Wong</v>
      </c>
      <c r="B17" s="65"/>
      <c r="C17" s="29">
        <v>3</v>
      </c>
      <c r="D17" s="31">
        <f>IF($C17=D$14,"-",IF($C17&lt;D$14,VLOOKUP($A$14&amp;$C17&amp;" v "&amp;D$14,'Match Results'!$C:$M,10,FALSE),VLOOKUP($A$14&amp;D$14&amp;" v "&amp;$C17,'Match Results'!$C:$M,11,FALSE)))</f>
        <v>1</v>
      </c>
      <c r="E17" s="31">
        <f>IF($C17=E$14,"-",IF($C17&lt;E$14,VLOOKUP($A$14&amp;$C17&amp;" v "&amp;E$14,'Match Results'!$C:$M,10,FALSE),VLOOKUP($A$14&amp;E$14&amp;" v "&amp;$C17,'Match Results'!$C:$M,11,FALSE)))</f>
        <v>0</v>
      </c>
      <c r="F17" s="31" t="str">
        <f>IF($C17=F$14,"-",IF($C17&lt;F$14,VLOOKUP($A$14&amp;$C17&amp;" v "&amp;F$14,'Match Results'!$C:$M,10,FALSE),VLOOKUP($A$14&amp;F$14&amp;" v "&amp;$C17,'Match Results'!$C:$M,11,FALSE)))</f>
        <v>-</v>
      </c>
      <c r="G17" s="31">
        <f>IF($C17=G$14,"-",IF($C17&lt;G$14,VLOOKUP($A$14&amp;$C17&amp;" v "&amp;G$14,'Match Results'!$C:$M,10,FALSE),VLOOKUP($A$14&amp;G$14&amp;" v "&amp;$C17,'Match Results'!$C:$M,11,FALSE)))</f>
        <v>1</v>
      </c>
      <c r="H17" s="31">
        <f t="shared" si="0"/>
        <v>2</v>
      </c>
    </row>
    <row r="18" spans="1:12" x14ac:dyDescent="0.25">
      <c r="A18" s="64" t="str">
        <f>VLOOKUP($C18&amp;$A$14,Players!$C:$H,6,FALSE)</f>
        <v>Ji Qiao &amp; Henry Noorveriandi</v>
      </c>
      <c r="B18" s="65"/>
      <c r="C18" s="29">
        <v>4</v>
      </c>
      <c r="D18" s="31">
        <f>IF($C18=D$14,"-",IF($C18&lt;D$14,VLOOKUP($A$14&amp;$C18&amp;" v "&amp;D$14,'Match Results'!$C:$M,10,FALSE),VLOOKUP($A$14&amp;D$14&amp;" v "&amp;$C18,'Match Results'!$C:$M,11,FALSE)))</f>
        <v>2</v>
      </c>
      <c r="E18" s="31">
        <f>IF($C18=E$14,"-",IF($C18&lt;E$14,VLOOKUP($A$14&amp;$C18&amp;" v "&amp;E$14,'Match Results'!$C:$M,10,FALSE),VLOOKUP($A$14&amp;E$14&amp;" v "&amp;$C18,'Match Results'!$C:$M,11,FALSE)))</f>
        <v>0</v>
      </c>
      <c r="F18" s="31">
        <f>IF($C18=F$14,"-",IF($C18&lt;F$14,VLOOKUP($A$14&amp;$C18&amp;" v "&amp;F$14,'Match Results'!$C:$M,10,FALSE),VLOOKUP($A$14&amp;F$14&amp;" v "&amp;$C18,'Match Results'!$C:$M,11,FALSE)))</f>
        <v>1</v>
      </c>
      <c r="G18" s="31" t="str">
        <f>IF($C18=G$14,"-",IF($C18&lt;G$14,VLOOKUP($A$14&amp;$C18&amp;" v "&amp;G$14,'Match Results'!$C:$M,10,FALSE),VLOOKUP($A$14&amp;G$14&amp;" v "&amp;$C18,'Match Results'!$C:$M,11,FALSE)))</f>
        <v>-</v>
      </c>
      <c r="H18" s="31">
        <f t="shared" si="0"/>
        <v>3</v>
      </c>
    </row>
    <row r="19" spans="1:12" x14ac:dyDescent="0.25">
      <c r="C19" s="34"/>
      <c r="D19" s="34"/>
      <c r="E19" s="34"/>
      <c r="F19" s="34"/>
    </row>
    <row r="20" spans="1:12" x14ac:dyDescent="0.25">
      <c r="C20" s="34"/>
      <c r="D20" s="34"/>
      <c r="E20" s="34"/>
      <c r="F20" s="34"/>
    </row>
    <row r="21" spans="1:12" ht="21" x14ac:dyDescent="0.25">
      <c r="A21" s="71" t="s">
        <v>53</v>
      </c>
      <c r="B21" s="71"/>
      <c r="C21" s="73"/>
      <c r="D21" s="65"/>
      <c r="E21" s="65"/>
      <c r="F21" s="65"/>
      <c r="G21" s="65"/>
      <c r="H21" s="65"/>
    </row>
    <row r="22" spans="1:12" x14ac:dyDescent="0.25">
      <c r="A22" s="72" t="s">
        <v>54</v>
      </c>
      <c r="B22" s="65"/>
      <c r="C22" s="29" t="s">
        <v>48</v>
      </c>
      <c r="D22" s="29">
        <v>1</v>
      </c>
      <c r="E22" s="29">
        <v>2</v>
      </c>
      <c r="F22" s="29">
        <v>3</v>
      </c>
      <c r="G22" s="29">
        <v>4</v>
      </c>
      <c r="H22" s="29" t="s">
        <v>52</v>
      </c>
    </row>
    <row r="23" spans="1:12" x14ac:dyDescent="0.25">
      <c r="A23" s="64" t="str">
        <f>VLOOKUP($C23&amp;$A$22,Players!$C:$H,6,FALSE)</f>
        <v>Catriona Golds &amp; Rachel Flood</v>
      </c>
      <c r="B23" s="65"/>
      <c r="C23" s="29">
        <v>1</v>
      </c>
      <c r="D23" s="31" t="str">
        <f>IF($C23=D$22,"-",IF($C23&lt;D$22,VLOOKUP($A$22&amp;$C23&amp;" v "&amp;D$22,'Match Results'!$C:$M,10,FALSE),VLOOKUP($A$22&amp;D$22&amp;" v "&amp;$C23,'Match Results'!$C:$M,11,FALSE)))</f>
        <v>-</v>
      </c>
      <c r="E23" s="31">
        <f>IF($C23=E$22,"-",IF($C23&lt;E$22,VLOOKUP($A$22&amp;$C23&amp;" v "&amp;E$22,'Match Results'!$C:$M,10,FALSE),VLOOKUP($A$22&amp;E$22&amp;" v "&amp;$C23,'Match Results'!$C:$M,11,FALSE)))</f>
        <v>2</v>
      </c>
      <c r="F23" s="31">
        <f>IF($C23=F$22,"-",IF($C23&lt;F$22,VLOOKUP($A$22&amp;$C23&amp;" v "&amp;F$22,'Match Results'!$C:$M,10,FALSE),VLOOKUP($A$22&amp;F$22&amp;" v "&amp;$C23,'Match Results'!$C:$M,11,FALSE)))</f>
        <v>2</v>
      </c>
      <c r="G23" s="31">
        <f>IF($C23=G$22,"-",IF($C23&lt;G$22,VLOOKUP($A$22&amp;$C23&amp;" v "&amp;G$22,'Match Results'!$C:$M,10,FALSE),VLOOKUP($A$22&amp;G$22&amp;" v "&amp;$C23,'Match Results'!$C:$M,11,FALSE)))</f>
        <v>1</v>
      </c>
      <c r="H23" s="31">
        <f>SUM(D23:G23)</f>
        <v>5</v>
      </c>
    </row>
    <row r="24" spans="1:12" x14ac:dyDescent="0.25">
      <c r="A24" s="64" t="str">
        <f>VLOOKUP($C24&amp;$A$22,Players!$C:$H,6,FALSE)</f>
        <v>Araadhna Singh &amp; Hannah Burke</v>
      </c>
      <c r="B24" s="65"/>
      <c r="C24" s="29">
        <v>2</v>
      </c>
      <c r="D24" s="31">
        <f>IF($C24=D$22,"-",IF($C24&lt;D$22,VLOOKUP($A$22&amp;$C24&amp;" v "&amp;D$22,'Match Results'!$C:$M,10,FALSE),VLOOKUP($A$22&amp;D$22&amp;" v "&amp;$C24,'Match Results'!$C:$M,11,FALSE)))</f>
        <v>0</v>
      </c>
      <c r="E24" s="31" t="str">
        <f>IF($C24=E$22,"-",IF($C24&lt;E$22,VLOOKUP($A$22&amp;$C24&amp;" v "&amp;E$22,'Match Results'!$C:$M,10,FALSE),VLOOKUP($A$22&amp;E$22&amp;" v "&amp;$C24,'Match Results'!$C:$M,11,FALSE)))</f>
        <v>-</v>
      </c>
      <c r="F24" s="31">
        <f>IF($C24=F$22,"-",IF($C24&lt;F$22,VLOOKUP($A$22&amp;$C24&amp;" v "&amp;F$22,'Match Results'!$C:$M,10,FALSE),VLOOKUP($A$22&amp;F$22&amp;" v "&amp;$C24,'Match Results'!$C:$M,11,FALSE)))</f>
        <v>0</v>
      </c>
      <c r="G24" s="31">
        <f>IF($C24=G$22,"-",IF($C24&lt;G$22,VLOOKUP($A$22&amp;$C24&amp;" v "&amp;G$22,'Match Results'!$C:$M,10,FALSE),VLOOKUP($A$22&amp;G$22&amp;" v "&amp;$C24,'Match Results'!$C:$M,11,FALSE)))</f>
        <v>1</v>
      </c>
      <c r="H24" s="31">
        <f t="shared" ref="H24:H26" si="1">SUM(D24:G24)</f>
        <v>1</v>
      </c>
    </row>
    <row r="25" spans="1:12" x14ac:dyDescent="0.25">
      <c r="A25" s="64" t="str">
        <f>VLOOKUP($C25&amp;$A$22,Players!$C:$H,6,FALSE)</f>
        <v>Hema Mistry &amp; Katie Donegan</v>
      </c>
      <c r="B25" s="65"/>
      <c r="C25" s="29">
        <v>3</v>
      </c>
      <c r="D25" s="31">
        <f>IF($C25=D$22,"-",IF($C25&lt;D$22,VLOOKUP($A$22&amp;$C25&amp;" v "&amp;D$22,'Match Results'!$C:$M,10,FALSE),VLOOKUP($A$22&amp;D$22&amp;" v "&amp;$C25,'Match Results'!$C:$M,11,FALSE)))</f>
        <v>0</v>
      </c>
      <c r="E25" s="31">
        <f>IF($C25=E$22,"-",IF($C25&lt;E$22,VLOOKUP($A$22&amp;$C25&amp;" v "&amp;E$22,'Match Results'!$C:$M,10,FALSE),VLOOKUP($A$22&amp;E$22&amp;" v "&amp;$C25,'Match Results'!$C:$M,11,FALSE)))</f>
        <v>2</v>
      </c>
      <c r="F25" s="31" t="str">
        <f>IF($C25=F$22,"-",IF($C25&lt;F$22,VLOOKUP($A$22&amp;$C25&amp;" v "&amp;F$22,'Match Results'!$C:$M,10,FALSE),VLOOKUP($A$22&amp;F$22&amp;" v "&amp;$C25,'Match Results'!$C:$M,11,FALSE)))</f>
        <v>-</v>
      </c>
      <c r="G25" s="31">
        <f>IF($C25=G$22,"-",IF($C25&lt;G$22,VLOOKUP($A$22&amp;$C25&amp;" v "&amp;G$22,'Match Results'!$C:$M,10,FALSE),VLOOKUP($A$22&amp;G$22&amp;" v "&amp;$C25,'Match Results'!$C:$M,11,FALSE)))</f>
        <v>1</v>
      </c>
      <c r="H25" s="31">
        <f t="shared" si="1"/>
        <v>3</v>
      </c>
    </row>
    <row r="26" spans="1:12" x14ac:dyDescent="0.25">
      <c r="A26" s="64" t="str">
        <f>VLOOKUP($C26&amp;$A$22,Players!$C:$H,6,FALSE)</f>
        <v>Anne Tang &amp; Stephanie Wyatt</v>
      </c>
      <c r="B26" s="65"/>
      <c r="C26" s="29">
        <v>4</v>
      </c>
      <c r="D26" s="31">
        <f>IF($C26=D$22,"-",IF($C26&lt;D$22,VLOOKUP($A$22&amp;$C26&amp;" v "&amp;D$22,'Match Results'!$C:$M,10,FALSE),VLOOKUP($A$22&amp;D$22&amp;" v "&amp;$C26,'Match Results'!$C:$M,11,FALSE)))</f>
        <v>1</v>
      </c>
      <c r="E26" s="31">
        <f>IF($C26=E$22,"-",IF($C26&lt;E$22,VLOOKUP($A$22&amp;$C26&amp;" v "&amp;E$22,'Match Results'!$C:$M,10,FALSE),VLOOKUP($A$22&amp;E$22&amp;" v "&amp;$C26,'Match Results'!$C:$M,11,FALSE)))</f>
        <v>1</v>
      </c>
      <c r="F26" s="31">
        <f>IF($C26=F$22,"-",IF($C26&lt;F$22,VLOOKUP($A$22&amp;$C26&amp;" v "&amp;F$22,'Match Results'!$C:$M,10,FALSE),VLOOKUP($A$22&amp;F$22&amp;" v "&amp;$C26,'Match Results'!$C:$M,11,FALSE)))</f>
        <v>1</v>
      </c>
      <c r="G26" s="31" t="str">
        <f>IF($C26=G$22,"-",IF($C26&lt;G$22,VLOOKUP($A$22&amp;$C26&amp;" v "&amp;G$22,'Match Results'!$C:$M,10,FALSE),VLOOKUP($A$22&amp;G$22&amp;" v "&amp;$C26,'Match Results'!$C:$M,11,FALSE)))</f>
        <v>-</v>
      </c>
      <c r="H26" s="31">
        <f t="shared" si="1"/>
        <v>3</v>
      </c>
    </row>
    <row r="27" spans="1:12" x14ac:dyDescent="0.25">
      <c r="C27" s="34"/>
      <c r="D27" s="34"/>
      <c r="E27" s="34"/>
      <c r="F27" s="34"/>
    </row>
    <row r="29" spans="1:12" ht="21" x14ac:dyDescent="0.25">
      <c r="A29" s="66" t="s">
        <v>55</v>
      </c>
      <c r="B29" s="67"/>
      <c r="C29" s="68"/>
      <c r="D29" s="69"/>
      <c r="E29" s="69"/>
      <c r="F29" s="69"/>
      <c r="G29" s="69"/>
      <c r="H29" s="69"/>
      <c r="I29" s="69"/>
      <c r="J29" s="69"/>
      <c r="K29" s="69"/>
      <c r="L29" s="63"/>
    </row>
    <row r="30" spans="1:12" x14ac:dyDescent="0.25">
      <c r="A30" s="70" t="s">
        <v>56</v>
      </c>
      <c r="B30" s="63"/>
      <c r="C30" s="29" t="s">
        <v>48</v>
      </c>
      <c r="D30" s="29" t="s">
        <v>0</v>
      </c>
      <c r="E30" s="29" t="s">
        <v>1</v>
      </c>
      <c r="F30" s="29" t="s">
        <v>2</v>
      </c>
      <c r="G30" s="29" t="s">
        <v>3</v>
      </c>
      <c r="H30" s="29" t="s">
        <v>4</v>
      </c>
      <c r="I30" s="29" t="s">
        <v>5</v>
      </c>
      <c r="J30" s="29" t="s">
        <v>35</v>
      </c>
      <c r="K30" s="29" t="s">
        <v>36</v>
      </c>
      <c r="L30" s="29" t="s">
        <v>52</v>
      </c>
    </row>
    <row r="31" spans="1:12" x14ac:dyDescent="0.25">
      <c r="A31" s="62" t="str">
        <f>VLOOKUP(LEFT($C31,1)&amp;$A$30&amp;RIGHT($C31,1),Players!$C:$H,6,FALSE)</f>
        <v>James Kee &amp; Julie Leeming</v>
      </c>
      <c r="B31" s="63"/>
      <c r="C31" s="29" t="s">
        <v>0</v>
      </c>
      <c r="D31" s="31" t="str">
        <f>IF(OR(LEFT($C31,1)=LEFT(D$30,1),RIGHT($C31,1)&lt;&gt;RIGHT(D$30,1)),"-",IF(LEFT($C31,1)&lt;LEFT(D$30,1),VLOOKUP($A$30&amp;RIGHT($C31,1)&amp;LEFT($C31,1)&amp;" v "&amp;LEFT(D$30,1),'Match Results'!$C:$M,10,FALSE),VLOOKUP($A$30&amp;RIGHT(D$30,1)&amp;LEFT(D$30,1)&amp;" v "&amp;LEFT($C31,1),'Match Results'!$C:$M,11,FALSE)))</f>
        <v>-</v>
      </c>
      <c r="E31" s="31" t="str">
        <f>IF(OR(LEFT($C31,1)=LEFT(E$30,1),RIGHT($C31,1)&lt;&gt;RIGHT(E$30,1)),"-",IF(LEFT($C31,1)&lt;LEFT(E$30,1),VLOOKUP($A$30&amp;RIGHT($C31,1)&amp;LEFT($C31,1)&amp;" v "&amp;LEFT(E$30,1),'Match Results'!$C:$M,10,FALSE),VLOOKUP($A$30&amp;RIGHT(E$30,1)&amp;LEFT(E$30,1)&amp;" v "&amp;LEFT($C31,1),'Match Results'!$C:$M,11,FALSE)))</f>
        <v>-</v>
      </c>
      <c r="F31" s="31">
        <f>IF(OR(LEFT($C31,1)=LEFT(F$30,1),RIGHT($C31,1)&lt;&gt;RIGHT(F$30,1)),"-",IF(LEFT($C31,1)&lt;LEFT(F$30,1),VLOOKUP($A$30&amp;RIGHT($C31,1)&amp;LEFT($C31,1)&amp;" v "&amp;LEFT(F$30,1),'Match Results'!$C:$M,10,FALSE),VLOOKUP($A$30&amp;RIGHT(F$30,1)&amp;LEFT(F$30,1)&amp;" v "&amp;LEFT($C31,1),'Match Results'!$C:$M,11,FALSE)))</f>
        <v>2</v>
      </c>
      <c r="G31" s="31" t="str">
        <f>IF(OR(LEFT($C31,1)=LEFT(G$30,1),RIGHT($C31,1)&lt;&gt;RIGHT(G$30,1)),"-",IF(LEFT($C31,1)&lt;LEFT(G$30,1),VLOOKUP($A$30&amp;RIGHT($C31,1)&amp;LEFT($C31,1)&amp;" v "&amp;LEFT(G$30,1),'Match Results'!$C:$M,10,FALSE),VLOOKUP($A$30&amp;RIGHT(G$30,1)&amp;LEFT(G$30,1)&amp;" v "&amp;LEFT($C31,1),'Match Results'!$C:$M,11,FALSE)))</f>
        <v>-</v>
      </c>
      <c r="H31" s="31">
        <f>IF(OR(LEFT($C31,1)=LEFT(H$30,1),RIGHT($C31,1)&lt;&gt;RIGHT(H$30,1)),"-",IF(LEFT($C31,1)&lt;LEFT(H$30,1),VLOOKUP($A$30&amp;RIGHT($C31,1)&amp;LEFT($C31,1)&amp;" v "&amp;LEFT(H$30,1),'Match Results'!$C:$M,10,FALSE),VLOOKUP($A$30&amp;RIGHT(H$30,1)&amp;LEFT(H$30,1)&amp;" v "&amp;LEFT($C31,1),'Match Results'!$C:$M,11,FALSE)))</f>
        <v>0</v>
      </c>
      <c r="I31" s="31" t="str">
        <f>IF(OR(LEFT($C31,1)=LEFT(I$30,1),RIGHT($C31,1)&lt;&gt;RIGHT(I$30,1)),"-",IF(LEFT($C31,1)&lt;LEFT(I$30,1),VLOOKUP($A$30&amp;RIGHT($C31,1)&amp;LEFT($C31,1)&amp;" v "&amp;LEFT(I$30,1),'Match Results'!$C:$M,10,FALSE),VLOOKUP($A$30&amp;RIGHT(I$30,1)&amp;LEFT(I$30,1)&amp;" v "&amp;LEFT($C31,1),'Match Results'!$C:$M,11,FALSE)))</f>
        <v>-</v>
      </c>
      <c r="J31" s="31">
        <f>IF(OR(LEFT($C31,1)=LEFT(J$30,1),RIGHT($C31,1)&lt;&gt;RIGHT(J$30,1)),"-",IF(LEFT($C31,1)&lt;LEFT(J$30,1),VLOOKUP($A$30&amp;RIGHT($C31,1)&amp;LEFT($C31,1)&amp;" v "&amp;LEFT(J$30,1),'Match Results'!$C:$M,10,FALSE),VLOOKUP($A$30&amp;RIGHT(J$30,1)&amp;LEFT(J$30,1)&amp;" v "&amp;LEFT($C31,1),'Match Results'!$C:$M,11,FALSE)))</f>
        <v>0</v>
      </c>
      <c r="K31" s="31" t="str">
        <f>IF(OR(LEFT($C31,1)=LEFT(K$30,1),RIGHT($C31,1)&lt;&gt;RIGHT(K$30,1)),"-",IF(LEFT($C31,1)&lt;LEFT(K$30,1),VLOOKUP($A$30&amp;RIGHT($C31,1)&amp;LEFT($C31,1)&amp;" v "&amp;LEFT(K$30,1),'Match Results'!$C:$M,10,FALSE),VLOOKUP($A$30&amp;RIGHT(K$30,1)&amp;LEFT(K$30,1)&amp;" v "&amp;LEFT($C31,1),'Match Results'!$C:$M,11,FALSE)))</f>
        <v>-</v>
      </c>
      <c r="L31" s="31">
        <f>SUM(D31:K31)</f>
        <v>2</v>
      </c>
    </row>
    <row r="32" spans="1:12" x14ac:dyDescent="0.25">
      <c r="A32" s="62" t="str">
        <f>VLOOKUP(LEFT($C32,1)&amp;$A$30&amp;RIGHT($C32,1),Players!$C:$H,6,FALSE)</f>
        <v>Duncan Hurlstone &amp; Emily Stapley</v>
      </c>
      <c r="B32" s="63"/>
      <c r="C32" s="29" t="s">
        <v>2</v>
      </c>
      <c r="D32" s="31">
        <f>IF(OR(LEFT($C32,1)=LEFT(D$30,1),RIGHT($C32,1)&lt;&gt;RIGHT(D$30,1)),"-",IF(LEFT($C32,1)&lt;LEFT(D$30,1),VLOOKUP($A$30&amp;RIGHT($C32,1)&amp;LEFT($C32,1)&amp;" v "&amp;LEFT(D$30,1),'Match Results'!$C:$M,10,FALSE),VLOOKUP($A$30&amp;RIGHT(D$30,1)&amp;LEFT(D$30,1)&amp;" v "&amp;LEFT($C32,1),'Match Results'!$C:$M,11,FALSE)))</f>
        <v>0</v>
      </c>
      <c r="E32" s="31" t="str">
        <f>IF(OR(LEFT($C32,1)=LEFT(E$30,1),RIGHT($C32,1)&lt;&gt;RIGHT(E$30,1)),"-",IF(LEFT($C32,1)&lt;LEFT(E$30,1),VLOOKUP($A$30&amp;RIGHT($C32,1)&amp;LEFT($C32,1)&amp;" v "&amp;LEFT(E$30,1),'Match Results'!$C:$M,10,FALSE),VLOOKUP($A$30&amp;RIGHT(E$30,1)&amp;LEFT(E$30,1)&amp;" v "&amp;LEFT($C32,1),'Match Results'!$C:$M,11,FALSE)))</f>
        <v>-</v>
      </c>
      <c r="F32" s="31" t="str">
        <f>IF(OR(LEFT($C32,1)=LEFT(F$30,1),RIGHT($C32,1)&lt;&gt;RIGHT(F$30,1)),"-",IF(LEFT($C32,1)&lt;LEFT(F$30,1),VLOOKUP($A$30&amp;RIGHT($C32,1)&amp;LEFT($C32,1)&amp;" v "&amp;LEFT(F$30,1),'Match Results'!$C:$M,10,FALSE),VLOOKUP($A$30&amp;RIGHT(F$30,1)&amp;LEFT(F$30,1)&amp;" v "&amp;LEFT($C32,1),'Match Results'!$C:$M,11,FALSE)))</f>
        <v>-</v>
      </c>
      <c r="G32" s="31" t="str">
        <f>IF(OR(LEFT($C32,1)=LEFT(G$30,1),RIGHT($C32,1)&lt;&gt;RIGHT(G$30,1)),"-",IF(LEFT($C32,1)&lt;LEFT(G$30,1),VLOOKUP($A$30&amp;RIGHT($C32,1)&amp;LEFT($C32,1)&amp;" v "&amp;LEFT(G$30,1),'Match Results'!$C:$M,10,FALSE),VLOOKUP($A$30&amp;RIGHT(G$30,1)&amp;LEFT(G$30,1)&amp;" v "&amp;LEFT($C32,1),'Match Results'!$C:$M,11,FALSE)))</f>
        <v>-</v>
      </c>
      <c r="H32" s="31">
        <f>IF(OR(LEFT($C32,1)=LEFT(H$30,1),RIGHT($C32,1)&lt;&gt;RIGHT(H$30,1)),"-",IF(LEFT($C32,1)&lt;LEFT(H$30,1),VLOOKUP($A$30&amp;RIGHT($C32,1)&amp;LEFT($C32,1)&amp;" v "&amp;LEFT(H$30,1),'Match Results'!$C:$M,10,FALSE),VLOOKUP($A$30&amp;RIGHT(H$30,1)&amp;LEFT(H$30,1)&amp;" v "&amp;LEFT($C32,1),'Match Results'!$C:$M,11,FALSE)))</f>
        <v>1</v>
      </c>
      <c r="I32" s="31" t="str">
        <f>IF(OR(LEFT($C32,1)=LEFT(I$30,1),RIGHT($C32,1)&lt;&gt;RIGHT(I$30,1)),"-",IF(LEFT($C32,1)&lt;LEFT(I$30,1),VLOOKUP($A$30&amp;RIGHT($C32,1)&amp;LEFT($C32,1)&amp;" v "&amp;LEFT(I$30,1),'Match Results'!$C:$M,10,FALSE),VLOOKUP($A$30&amp;RIGHT(I$30,1)&amp;LEFT(I$30,1)&amp;" v "&amp;LEFT($C32,1),'Match Results'!$C:$M,11,FALSE)))</f>
        <v>-</v>
      </c>
      <c r="J32" s="31">
        <f>IF(OR(LEFT($C32,1)=LEFT(J$30,1),RIGHT($C32,1)&lt;&gt;RIGHT(J$30,1)),"-",IF(LEFT($C32,1)&lt;LEFT(J$30,1),VLOOKUP($A$30&amp;RIGHT($C32,1)&amp;LEFT($C32,1)&amp;" v "&amp;LEFT(J$30,1),'Match Results'!$C:$M,10,FALSE),VLOOKUP($A$30&amp;RIGHT(J$30,1)&amp;LEFT(J$30,1)&amp;" v "&amp;LEFT($C32,1),'Match Results'!$C:$M,11,FALSE)))</f>
        <v>1</v>
      </c>
      <c r="K32" s="31" t="str">
        <f>IF(OR(LEFT($C32,1)=LEFT(K$30,1),RIGHT($C32,1)&lt;&gt;RIGHT(K$30,1)),"-",IF(LEFT($C32,1)&lt;LEFT(K$30,1),VLOOKUP($A$30&amp;RIGHT($C32,1)&amp;LEFT($C32,1)&amp;" v "&amp;LEFT(K$30,1),'Match Results'!$C:$M,10,FALSE),VLOOKUP($A$30&amp;RIGHT(K$30,1)&amp;LEFT(K$30,1)&amp;" v "&amp;LEFT($C32,1),'Match Results'!$C:$M,11,FALSE)))</f>
        <v>-</v>
      </c>
      <c r="L32" s="31">
        <f>SUM(D32:K32)</f>
        <v>2</v>
      </c>
    </row>
    <row r="33" spans="1:12" x14ac:dyDescent="0.25">
      <c r="A33" s="62" t="str">
        <f>VLOOKUP(LEFT($C33,1)&amp;$A$30&amp;RIGHT($C33,1),Players!$C:$H,6,FALSE)</f>
        <v>Pasha Riley &amp; Avril Sloane</v>
      </c>
      <c r="B33" s="63"/>
      <c r="C33" s="29" t="s">
        <v>4</v>
      </c>
      <c r="D33" s="31">
        <f>IF(OR(LEFT($C33,1)=LEFT(D$30,1),RIGHT($C33,1)&lt;&gt;RIGHT(D$30,1)),"-",IF(LEFT($C33,1)&lt;LEFT(D$30,1),VLOOKUP($A$30&amp;RIGHT($C33,1)&amp;LEFT($C33,1)&amp;" v "&amp;LEFT(D$30,1),'Match Results'!$C:$M,10,FALSE),VLOOKUP($A$30&amp;RIGHT(D$30,1)&amp;LEFT(D$30,1)&amp;" v "&amp;LEFT($C33,1),'Match Results'!$C:$M,11,FALSE)))</f>
        <v>2</v>
      </c>
      <c r="E33" s="31" t="str">
        <f>IF(OR(LEFT($C33,1)=LEFT(E$30,1),RIGHT($C33,1)&lt;&gt;RIGHT(E$30,1)),"-",IF(LEFT($C33,1)&lt;LEFT(E$30,1),VLOOKUP($A$30&amp;RIGHT($C33,1)&amp;LEFT($C33,1)&amp;" v "&amp;LEFT(E$30,1),'Match Results'!$C:$M,10,FALSE),VLOOKUP($A$30&amp;RIGHT(E$30,1)&amp;LEFT(E$30,1)&amp;" v "&amp;LEFT($C33,1),'Match Results'!$C:$M,11,FALSE)))</f>
        <v>-</v>
      </c>
      <c r="F33" s="31">
        <f>IF(OR(LEFT($C33,1)=LEFT(F$30,1),RIGHT($C33,1)&lt;&gt;RIGHT(F$30,1)),"-",IF(LEFT($C33,1)&lt;LEFT(F$30,1),VLOOKUP($A$30&amp;RIGHT($C33,1)&amp;LEFT($C33,1)&amp;" v "&amp;LEFT(F$30,1),'Match Results'!$C:$M,10,FALSE),VLOOKUP($A$30&amp;RIGHT(F$30,1)&amp;LEFT(F$30,1)&amp;" v "&amp;LEFT($C33,1),'Match Results'!$C:$M,11,FALSE)))</f>
        <v>1</v>
      </c>
      <c r="G33" s="31" t="str">
        <f>IF(OR(LEFT($C33,1)=LEFT(G$30,1),RIGHT($C33,1)&lt;&gt;RIGHT(G$30,1)),"-",IF(LEFT($C33,1)&lt;LEFT(G$30,1),VLOOKUP($A$30&amp;RIGHT($C33,1)&amp;LEFT($C33,1)&amp;" v "&amp;LEFT(G$30,1),'Match Results'!$C:$M,10,FALSE),VLOOKUP($A$30&amp;RIGHT(G$30,1)&amp;LEFT(G$30,1)&amp;" v "&amp;LEFT($C33,1),'Match Results'!$C:$M,11,FALSE)))</f>
        <v>-</v>
      </c>
      <c r="H33" s="31" t="str">
        <f>IF(OR(LEFT($C33,1)=LEFT(H$30,1),RIGHT($C33,1)&lt;&gt;RIGHT(H$30,1)),"-",IF(LEFT($C33,1)&lt;LEFT(H$30,1),VLOOKUP($A$30&amp;RIGHT($C33,1)&amp;LEFT($C33,1)&amp;" v "&amp;LEFT(H$30,1),'Match Results'!$C:$M,10,FALSE),VLOOKUP($A$30&amp;RIGHT(H$30,1)&amp;LEFT(H$30,1)&amp;" v "&amp;LEFT($C33,1),'Match Results'!$C:$M,11,FALSE)))</f>
        <v>-</v>
      </c>
      <c r="I33" s="31" t="str">
        <f>IF(OR(LEFT($C33,1)=LEFT(I$30,1),RIGHT($C33,1)&lt;&gt;RIGHT(I$30,1)),"-",IF(LEFT($C33,1)&lt;LEFT(I$30,1),VLOOKUP($A$30&amp;RIGHT($C33,1)&amp;LEFT($C33,1)&amp;" v "&amp;LEFT(I$30,1),'Match Results'!$C:$M,10,FALSE),VLOOKUP($A$30&amp;RIGHT(I$30,1)&amp;LEFT(I$30,1)&amp;" v "&amp;LEFT($C33,1),'Match Results'!$C:$M,11,FALSE)))</f>
        <v>-</v>
      </c>
      <c r="J33" s="31">
        <f>IF(OR(LEFT($C33,1)=LEFT(J$30,1),RIGHT($C33,1)&lt;&gt;RIGHT(J$30,1)),"-",IF(LEFT($C33,1)&lt;LEFT(J$30,1),VLOOKUP($A$30&amp;RIGHT($C33,1)&amp;LEFT($C33,1)&amp;" v "&amp;LEFT(J$30,1),'Match Results'!$C:$M,10,FALSE),VLOOKUP($A$30&amp;RIGHT(J$30,1)&amp;LEFT(J$30,1)&amp;" v "&amp;LEFT($C33,1),'Match Results'!$C:$M,11,FALSE)))</f>
        <v>0</v>
      </c>
      <c r="K33" s="31" t="str">
        <f>IF(OR(LEFT($C33,1)=LEFT(K$30,1),RIGHT($C33,1)&lt;&gt;RIGHT(K$30,1)),"-",IF(LEFT($C33,1)&lt;LEFT(K$30,1),VLOOKUP($A$30&amp;RIGHT($C33,1)&amp;LEFT($C33,1)&amp;" v "&amp;LEFT(K$30,1),'Match Results'!$C:$M,10,FALSE),VLOOKUP($A$30&amp;RIGHT(K$30,1)&amp;LEFT(K$30,1)&amp;" v "&amp;LEFT($C33,1),'Match Results'!$C:$M,11,FALSE)))</f>
        <v>-</v>
      </c>
      <c r="L33" s="31">
        <f>SUM(D33:K33)</f>
        <v>3</v>
      </c>
    </row>
    <row r="34" spans="1:12" x14ac:dyDescent="0.25">
      <c r="A34" s="62" t="str">
        <f>VLOOKUP(LEFT($C34,1)&amp;$A$30&amp;RIGHT($C34,1),Players!$C:$H,6,FALSE)</f>
        <v>Rob Kirkpatrick &amp; Sally Dowgill</v>
      </c>
      <c r="B34" s="63"/>
      <c r="C34" s="29" t="s">
        <v>35</v>
      </c>
      <c r="D34" s="31">
        <f>IF(OR(LEFT($C34,1)=LEFT(D$30,1),RIGHT($C34,1)&lt;&gt;RIGHT(D$30,1)),"-",IF(LEFT($C34,1)&lt;LEFT(D$30,1),VLOOKUP($A$30&amp;RIGHT($C34,1)&amp;LEFT($C34,1)&amp;" v "&amp;LEFT(D$30,1),'Match Results'!$C:$M,10,FALSE),VLOOKUP($A$30&amp;RIGHT(D$30,1)&amp;LEFT(D$30,1)&amp;" v "&amp;LEFT($C34,1),'Match Results'!$C:$M,11,FALSE)))</f>
        <v>2</v>
      </c>
      <c r="E34" s="31" t="str">
        <f>IF(OR(LEFT($C34,1)=LEFT(E$30,1),RIGHT($C34,1)&lt;&gt;RIGHT(E$30,1)),"-",IF(LEFT($C34,1)&lt;LEFT(E$30,1),VLOOKUP($A$30&amp;RIGHT($C34,1)&amp;LEFT($C34,1)&amp;" v "&amp;LEFT(E$30,1),'Match Results'!$C:$M,10,FALSE),VLOOKUP($A$30&amp;RIGHT(E$30,1)&amp;LEFT(E$30,1)&amp;" v "&amp;LEFT($C34,1),'Match Results'!$C:$M,11,FALSE)))</f>
        <v>-</v>
      </c>
      <c r="F34" s="31">
        <f>IF(OR(LEFT($C34,1)=LEFT(F$30,1),RIGHT($C34,1)&lt;&gt;RIGHT(F$30,1)),"-",IF(LEFT($C34,1)&lt;LEFT(F$30,1),VLOOKUP($A$30&amp;RIGHT($C34,1)&amp;LEFT($C34,1)&amp;" v "&amp;LEFT(F$30,1),'Match Results'!$C:$M,10,FALSE),VLOOKUP($A$30&amp;RIGHT(F$30,1)&amp;LEFT(F$30,1)&amp;" v "&amp;LEFT($C34,1),'Match Results'!$C:$M,11,FALSE)))</f>
        <v>1</v>
      </c>
      <c r="G34" s="31" t="str">
        <f>IF(OR(LEFT($C34,1)=LEFT(G$30,1),RIGHT($C34,1)&lt;&gt;RIGHT(G$30,1)),"-",IF(LEFT($C34,1)&lt;LEFT(G$30,1),VLOOKUP($A$30&amp;RIGHT($C34,1)&amp;LEFT($C34,1)&amp;" v "&amp;LEFT(G$30,1),'Match Results'!$C:$M,10,FALSE),VLOOKUP($A$30&amp;RIGHT(G$30,1)&amp;LEFT(G$30,1)&amp;" v "&amp;LEFT($C34,1),'Match Results'!$C:$M,11,FALSE)))</f>
        <v>-</v>
      </c>
      <c r="H34" s="31">
        <f>IF(OR(LEFT($C34,1)=LEFT(H$30,1),RIGHT($C34,1)&lt;&gt;RIGHT(H$30,1)),"-",IF(LEFT($C34,1)&lt;LEFT(H$30,1),VLOOKUP($A$30&amp;RIGHT($C34,1)&amp;LEFT($C34,1)&amp;" v "&amp;LEFT(H$30,1),'Match Results'!$C:$M,10,FALSE),VLOOKUP($A$30&amp;RIGHT(H$30,1)&amp;LEFT(H$30,1)&amp;" v "&amp;LEFT($C34,1),'Match Results'!$C:$M,11,FALSE)))</f>
        <v>2</v>
      </c>
      <c r="I34" s="31" t="str">
        <f>IF(OR(LEFT($C34,1)=LEFT(I$30,1),RIGHT($C34,1)&lt;&gt;RIGHT(I$30,1)),"-",IF(LEFT($C34,1)&lt;LEFT(I$30,1),VLOOKUP($A$30&amp;RIGHT($C34,1)&amp;LEFT($C34,1)&amp;" v "&amp;LEFT(I$30,1),'Match Results'!$C:$M,10,FALSE),VLOOKUP($A$30&amp;RIGHT(I$30,1)&amp;LEFT(I$30,1)&amp;" v "&amp;LEFT($C34,1),'Match Results'!$C:$M,11,FALSE)))</f>
        <v>-</v>
      </c>
      <c r="J34" s="31" t="str">
        <f>IF(OR(LEFT($C34,1)=LEFT(J$30,1),RIGHT($C34,1)&lt;&gt;RIGHT(J$30,1)),"-",IF(LEFT($C34,1)&lt;LEFT(J$30,1),VLOOKUP($A$30&amp;RIGHT($C34,1)&amp;LEFT($C34,1)&amp;" v "&amp;LEFT(J$30,1),'Match Results'!$C:$M,10,FALSE),VLOOKUP($A$30&amp;RIGHT(J$30,1)&amp;LEFT(J$30,1)&amp;" v "&amp;LEFT($C34,1),'Match Results'!$C:$M,11,FALSE)))</f>
        <v>-</v>
      </c>
      <c r="K34" s="31" t="str">
        <f>IF(OR(LEFT($C34,1)=LEFT(K$30,1),RIGHT($C34,1)&lt;&gt;RIGHT(K$30,1)),"-",IF(LEFT($C34,1)&lt;LEFT(K$30,1),VLOOKUP($A$30&amp;RIGHT($C34,1)&amp;LEFT($C34,1)&amp;" v "&amp;LEFT(K$30,1),'Match Results'!$C:$M,10,FALSE),VLOOKUP($A$30&amp;RIGHT(K$30,1)&amp;LEFT(K$30,1)&amp;" v "&amp;LEFT($C34,1),'Match Results'!$C:$M,11,FALSE)))</f>
        <v>-</v>
      </c>
      <c r="L34" s="31">
        <f>SUM(D34:K34)</f>
        <v>5</v>
      </c>
    </row>
    <row r="35" spans="1:12" x14ac:dyDescent="0.25">
      <c r="A35" s="62" t="str">
        <f>VLOOKUP(LEFT($C35,1)&amp;$A$30&amp;RIGHT($C35,1),Players!$C:$H,6,FALSE)</f>
        <v>Kerry Kirkwood &amp; Lisa Edgar</v>
      </c>
      <c r="B35" s="63"/>
      <c r="C35" s="29" t="s">
        <v>1</v>
      </c>
      <c r="D35" s="31" t="str">
        <f>IF(OR(LEFT($C35,1)=LEFT(D$30,1),RIGHT($C35,1)&lt;&gt;RIGHT(D$30,1)),"-",IF(LEFT($C35,1)&lt;LEFT(D$30,1),VLOOKUP($A$30&amp;RIGHT($C35,1)&amp;LEFT($C35,1)&amp;" v "&amp;LEFT(D$30,1),'Match Results'!$C:$M,10,FALSE),VLOOKUP($A$30&amp;RIGHT(D$30,1)&amp;LEFT(D$30,1)&amp;" v "&amp;LEFT($C35,1),'Match Results'!$C:$M,11,FALSE)))</f>
        <v>-</v>
      </c>
      <c r="E35" s="31" t="str">
        <f>IF(OR(LEFT($C35,1)=LEFT(E$30,1),RIGHT($C35,1)&lt;&gt;RIGHT(E$30,1)),"-",IF(LEFT($C35,1)&lt;LEFT(E$30,1),VLOOKUP($A$30&amp;RIGHT($C35,1)&amp;LEFT($C35,1)&amp;" v "&amp;LEFT(E$30,1),'Match Results'!$C:$M,10,FALSE),VLOOKUP($A$30&amp;RIGHT(E$30,1)&amp;LEFT(E$30,1)&amp;" v "&amp;LEFT($C35,1),'Match Results'!$C:$M,11,FALSE)))</f>
        <v>-</v>
      </c>
      <c r="F35" s="31" t="str">
        <f>IF(OR(LEFT($C35,1)=LEFT(F$30,1),RIGHT($C35,1)&lt;&gt;RIGHT(F$30,1)),"-",IF(LEFT($C35,1)&lt;LEFT(F$30,1),VLOOKUP($A$30&amp;RIGHT($C35,1)&amp;LEFT($C35,1)&amp;" v "&amp;LEFT(F$30,1),'Match Results'!$C:$M,10,FALSE),VLOOKUP($A$30&amp;RIGHT(F$30,1)&amp;LEFT(F$30,1)&amp;" v "&amp;LEFT($C35,1),'Match Results'!$C:$M,11,FALSE)))</f>
        <v>-</v>
      </c>
      <c r="G35" s="31">
        <f>IF(OR(LEFT($C35,1)=LEFT(G$30,1),RIGHT($C35,1)&lt;&gt;RIGHT(G$30,1)),"-",IF(LEFT($C35,1)&lt;LEFT(G$30,1),VLOOKUP($A$30&amp;RIGHT($C35,1)&amp;LEFT($C35,1)&amp;" v "&amp;LEFT(G$30,1),'Match Results'!$C:$M,10,FALSE),VLOOKUP($A$30&amp;RIGHT(G$30,1)&amp;LEFT(G$30,1)&amp;" v "&amp;LEFT($C35,1),'Match Results'!$C:$M,11,FALSE)))</f>
        <v>2</v>
      </c>
      <c r="H35" s="31" t="str">
        <f>IF(OR(LEFT($C35,1)=LEFT(H$30,1),RIGHT($C35,1)&lt;&gt;RIGHT(H$30,1)),"-",IF(LEFT($C35,1)&lt;LEFT(H$30,1),VLOOKUP($A$30&amp;RIGHT($C35,1)&amp;LEFT($C35,1)&amp;" v "&amp;LEFT(H$30,1),'Match Results'!$C:$M,10,FALSE),VLOOKUP($A$30&amp;RIGHT(H$30,1)&amp;LEFT(H$30,1)&amp;" v "&amp;LEFT($C35,1),'Match Results'!$C:$M,11,FALSE)))</f>
        <v>-</v>
      </c>
      <c r="I35" s="31">
        <f>IF(OR(LEFT($C35,1)=LEFT(I$30,1),RIGHT($C35,1)&lt;&gt;RIGHT(I$30,1)),"-",IF(LEFT($C35,1)&lt;LEFT(I$30,1),VLOOKUP($A$30&amp;RIGHT($C35,1)&amp;LEFT($C35,1)&amp;" v "&amp;LEFT(I$30,1),'Match Results'!$C:$M,10,FALSE),VLOOKUP($A$30&amp;RIGHT(I$30,1)&amp;LEFT(I$30,1)&amp;" v "&amp;LEFT($C35,1),'Match Results'!$C:$M,11,FALSE)))</f>
        <v>2</v>
      </c>
      <c r="J35" s="31" t="str">
        <f>IF(OR(LEFT($C35,1)=LEFT(J$30,1),RIGHT($C35,1)&lt;&gt;RIGHT(J$30,1)),"-",IF(LEFT($C35,1)&lt;LEFT(J$30,1),VLOOKUP($A$30&amp;RIGHT($C35,1)&amp;LEFT($C35,1)&amp;" v "&amp;LEFT(J$30,1),'Match Results'!$C:$M,10,FALSE),VLOOKUP($A$30&amp;RIGHT(J$30,1)&amp;LEFT(J$30,1)&amp;" v "&amp;LEFT($C35,1),'Match Results'!$C:$M,11,FALSE)))</f>
        <v>-</v>
      </c>
      <c r="K35" s="31">
        <f>IF(OR(LEFT($C35,1)=LEFT(K$30,1),RIGHT($C35,1)&lt;&gt;RIGHT(K$30,1)),"-",IF(LEFT($C35,1)&lt;LEFT(K$30,1),VLOOKUP($A$30&amp;RIGHT($C35,1)&amp;LEFT($C35,1)&amp;" v "&amp;LEFT(K$30,1),'Match Results'!$C:$M,10,FALSE),VLOOKUP($A$30&amp;RIGHT(K$30,1)&amp;LEFT(K$30,1)&amp;" v "&amp;LEFT($C35,1),'Match Results'!$C:$M,11,FALSE)))</f>
        <v>1</v>
      </c>
      <c r="L35" s="31">
        <f t="shared" ref="L35:L38" si="2">SUM(D35:K35)</f>
        <v>5</v>
      </c>
    </row>
    <row r="36" spans="1:12" x14ac:dyDescent="0.25">
      <c r="A36" s="62" t="str">
        <f>VLOOKUP(LEFT($C36,1)&amp;$A$30&amp;RIGHT($C36,1),Players!$C:$H,6,FALSE)</f>
        <v>Andy Foy &amp; Lesley Fryer</v>
      </c>
      <c r="B36" s="63"/>
      <c r="C36" s="29" t="s">
        <v>3</v>
      </c>
      <c r="D36" s="31" t="str">
        <f>IF(OR(LEFT($C36,1)=LEFT(D$30,1),RIGHT($C36,1)&lt;&gt;RIGHT(D$30,1)),"-",IF(LEFT($C36,1)&lt;LEFT(D$30,1),VLOOKUP($A$30&amp;RIGHT($C36,1)&amp;LEFT($C36,1)&amp;" v "&amp;LEFT(D$30,1),'Match Results'!$C:$M,10,FALSE),VLOOKUP($A$30&amp;RIGHT(D$30,1)&amp;LEFT(D$30,1)&amp;" v "&amp;LEFT($C36,1),'Match Results'!$C:$M,11,FALSE)))</f>
        <v>-</v>
      </c>
      <c r="E36" s="31">
        <f>IF(OR(LEFT($C36,1)=LEFT(E$30,1),RIGHT($C36,1)&lt;&gt;RIGHT(E$30,1)),"-",IF(LEFT($C36,1)&lt;LEFT(E$30,1),VLOOKUP($A$30&amp;RIGHT($C36,1)&amp;LEFT($C36,1)&amp;" v "&amp;LEFT(E$30,1),'Match Results'!$C:$M,10,FALSE),VLOOKUP($A$30&amp;RIGHT(E$30,1)&amp;LEFT(E$30,1)&amp;" v "&amp;LEFT($C36,1),'Match Results'!$C:$M,11,FALSE)))</f>
        <v>0</v>
      </c>
      <c r="F36" s="31" t="str">
        <f>IF(OR(LEFT($C36,1)=LEFT(F$30,1),RIGHT($C36,1)&lt;&gt;RIGHT(F$30,1)),"-",IF(LEFT($C36,1)&lt;LEFT(F$30,1),VLOOKUP($A$30&amp;RIGHT($C36,1)&amp;LEFT($C36,1)&amp;" v "&amp;LEFT(F$30,1),'Match Results'!$C:$M,10,FALSE),VLOOKUP($A$30&amp;RIGHT(F$30,1)&amp;LEFT(F$30,1)&amp;" v "&amp;LEFT($C36,1),'Match Results'!$C:$M,11,FALSE)))</f>
        <v>-</v>
      </c>
      <c r="G36" s="31" t="str">
        <f>IF(OR(LEFT($C36,1)=LEFT(G$30,1),RIGHT($C36,1)&lt;&gt;RIGHT(G$30,1)),"-",IF(LEFT($C36,1)&lt;LEFT(G$30,1),VLOOKUP($A$30&amp;RIGHT($C36,1)&amp;LEFT($C36,1)&amp;" v "&amp;LEFT(G$30,1),'Match Results'!$C:$M,10,FALSE),VLOOKUP($A$30&amp;RIGHT(G$30,1)&amp;LEFT(G$30,1)&amp;" v "&amp;LEFT($C36,1),'Match Results'!$C:$M,11,FALSE)))</f>
        <v>-</v>
      </c>
      <c r="H36" s="31" t="str">
        <f>IF(OR(LEFT($C36,1)=LEFT(H$30,1),RIGHT($C36,1)&lt;&gt;RIGHT(H$30,1)),"-",IF(LEFT($C36,1)&lt;LEFT(H$30,1),VLOOKUP($A$30&amp;RIGHT($C36,1)&amp;LEFT($C36,1)&amp;" v "&amp;LEFT(H$30,1),'Match Results'!$C:$M,10,FALSE),VLOOKUP($A$30&amp;RIGHT(H$30,1)&amp;LEFT(H$30,1)&amp;" v "&amp;LEFT($C36,1),'Match Results'!$C:$M,11,FALSE)))</f>
        <v>-</v>
      </c>
      <c r="I36" s="31">
        <f>IF(OR(LEFT($C36,1)=LEFT(I$30,1),RIGHT($C36,1)&lt;&gt;RIGHT(I$30,1)),"-",IF(LEFT($C36,1)&lt;LEFT(I$30,1),VLOOKUP($A$30&amp;RIGHT($C36,1)&amp;LEFT($C36,1)&amp;" v "&amp;LEFT(I$30,1),'Match Results'!$C:$M,10,FALSE),VLOOKUP($A$30&amp;RIGHT(I$30,1)&amp;LEFT(I$30,1)&amp;" v "&amp;LEFT($C36,1),'Match Results'!$C:$M,11,FALSE)))</f>
        <v>0</v>
      </c>
      <c r="J36" s="31" t="str">
        <f>IF(OR(LEFT($C36,1)=LEFT(J$30,1),RIGHT($C36,1)&lt;&gt;RIGHT(J$30,1)),"-",IF(LEFT($C36,1)&lt;LEFT(J$30,1),VLOOKUP($A$30&amp;RIGHT($C36,1)&amp;LEFT($C36,1)&amp;" v "&amp;LEFT(J$30,1),'Match Results'!$C:$M,10,FALSE),VLOOKUP($A$30&amp;RIGHT(J$30,1)&amp;LEFT(J$30,1)&amp;" v "&amp;LEFT($C36,1),'Match Results'!$C:$M,11,FALSE)))</f>
        <v>-</v>
      </c>
      <c r="K36" s="31">
        <f>IF(OR(LEFT($C36,1)=LEFT(K$30,1),RIGHT($C36,1)&lt;&gt;RIGHT(K$30,1)),"-",IF(LEFT($C36,1)&lt;LEFT(K$30,1),VLOOKUP($A$30&amp;RIGHT($C36,1)&amp;LEFT($C36,1)&amp;" v "&amp;LEFT(K$30,1),'Match Results'!$C:$M,10,FALSE),VLOOKUP($A$30&amp;RIGHT(K$30,1)&amp;LEFT(K$30,1)&amp;" v "&amp;LEFT($C36,1),'Match Results'!$C:$M,11,FALSE)))</f>
        <v>0</v>
      </c>
      <c r="L36" s="31">
        <f t="shared" si="2"/>
        <v>0</v>
      </c>
    </row>
    <row r="37" spans="1:12" x14ac:dyDescent="0.25">
      <c r="A37" s="62" t="str">
        <f>VLOOKUP(LEFT($C37,1)&amp;$A$30&amp;RIGHT($C37,1),Players!$C:$H,6,FALSE)</f>
        <v>Jahangir Hussain &amp; Helen Yates</v>
      </c>
      <c r="B37" s="63"/>
      <c r="C37" s="29" t="s">
        <v>5</v>
      </c>
      <c r="D37" s="31" t="str">
        <f>IF(OR(LEFT($C37,1)=LEFT(D$30,1),RIGHT($C37,1)&lt;&gt;RIGHT(D$30,1)),"-",IF(LEFT($C37,1)&lt;LEFT(D$30,1),VLOOKUP($A$30&amp;RIGHT($C37,1)&amp;LEFT($C37,1)&amp;" v "&amp;LEFT(D$30,1),'Match Results'!$C:$M,10,FALSE),VLOOKUP($A$30&amp;RIGHT(D$30,1)&amp;LEFT(D$30,1)&amp;" v "&amp;LEFT($C37,1),'Match Results'!$C:$M,11,FALSE)))</f>
        <v>-</v>
      </c>
      <c r="E37" s="31">
        <f>IF(OR(LEFT($C37,1)=LEFT(E$30,1),RIGHT($C37,1)&lt;&gt;RIGHT(E$30,1)),"-",IF(LEFT($C37,1)&lt;LEFT(E$30,1),VLOOKUP($A$30&amp;RIGHT($C37,1)&amp;LEFT($C37,1)&amp;" v "&amp;LEFT(E$30,1),'Match Results'!$C:$M,10,FALSE),VLOOKUP($A$30&amp;RIGHT(E$30,1)&amp;LEFT(E$30,1)&amp;" v "&amp;LEFT($C37,1),'Match Results'!$C:$M,11,FALSE)))</f>
        <v>0</v>
      </c>
      <c r="F37" s="31" t="str">
        <f>IF(OR(LEFT($C37,1)=LEFT(F$30,1),RIGHT($C37,1)&lt;&gt;RIGHT(F$30,1)),"-",IF(LEFT($C37,1)&lt;LEFT(F$30,1),VLOOKUP($A$30&amp;RIGHT($C37,1)&amp;LEFT($C37,1)&amp;" v "&amp;LEFT(F$30,1),'Match Results'!$C:$M,10,FALSE),VLOOKUP($A$30&amp;RIGHT(F$30,1)&amp;LEFT(F$30,1)&amp;" v "&amp;LEFT($C37,1),'Match Results'!$C:$M,11,FALSE)))</f>
        <v>-</v>
      </c>
      <c r="G37" s="31">
        <f>IF(OR(LEFT($C37,1)=LEFT(G$30,1),RIGHT($C37,1)&lt;&gt;RIGHT(G$30,1)),"-",IF(LEFT($C37,1)&lt;LEFT(G$30,1),VLOOKUP($A$30&amp;RIGHT($C37,1)&amp;LEFT($C37,1)&amp;" v "&amp;LEFT(G$30,1),'Match Results'!$C:$M,10,FALSE),VLOOKUP($A$30&amp;RIGHT(G$30,1)&amp;LEFT(G$30,1)&amp;" v "&amp;LEFT($C37,1),'Match Results'!$C:$M,11,FALSE)))</f>
        <v>2</v>
      </c>
      <c r="H37" s="31" t="str">
        <f>IF(OR(LEFT($C37,1)=LEFT(H$30,1),RIGHT($C37,1)&lt;&gt;RIGHT(H$30,1)),"-",IF(LEFT($C37,1)&lt;LEFT(H$30,1),VLOOKUP($A$30&amp;RIGHT($C37,1)&amp;LEFT($C37,1)&amp;" v "&amp;LEFT(H$30,1),'Match Results'!$C:$M,10,FALSE),VLOOKUP($A$30&amp;RIGHT(H$30,1)&amp;LEFT(H$30,1)&amp;" v "&amp;LEFT($C37,1),'Match Results'!$C:$M,11,FALSE)))</f>
        <v>-</v>
      </c>
      <c r="I37" s="31" t="str">
        <f>IF(OR(LEFT($C37,1)=LEFT(I$30,1),RIGHT($C37,1)&lt;&gt;RIGHT(I$30,1)),"-",IF(LEFT($C37,1)&lt;LEFT(I$30,1),VLOOKUP($A$30&amp;RIGHT($C37,1)&amp;LEFT($C37,1)&amp;" v "&amp;LEFT(I$30,1),'Match Results'!$C:$M,10,FALSE),VLOOKUP($A$30&amp;RIGHT(I$30,1)&amp;LEFT(I$30,1)&amp;" v "&amp;LEFT($C37,1),'Match Results'!$C:$M,11,FALSE)))</f>
        <v>-</v>
      </c>
      <c r="J37" s="31" t="str">
        <f>IF(OR(LEFT($C37,1)=LEFT(J$30,1),RIGHT($C37,1)&lt;&gt;RIGHT(J$30,1)),"-",IF(LEFT($C37,1)&lt;LEFT(J$30,1),VLOOKUP($A$30&amp;RIGHT($C37,1)&amp;LEFT($C37,1)&amp;" v "&amp;LEFT(J$30,1),'Match Results'!$C:$M,10,FALSE),VLOOKUP($A$30&amp;RIGHT(J$30,1)&amp;LEFT(J$30,1)&amp;" v "&amp;LEFT($C37,1),'Match Results'!$C:$M,11,FALSE)))</f>
        <v>-</v>
      </c>
      <c r="K37" s="31">
        <f>IF(OR(LEFT($C37,1)=LEFT(K$30,1),RIGHT($C37,1)&lt;&gt;RIGHT(K$30,1)),"-",IF(LEFT($C37,1)&lt;LEFT(K$30,1),VLOOKUP($A$30&amp;RIGHT($C37,1)&amp;LEFT($C37,1)&amp;" v "&amp;LEFT(K$30,1),'Match Results'!$C:$M,10,FALSE),VLOOKUP($A$30&amp;RIGHT(K$30,1)&amp;LEFT(K$30,1)&amp;" v "&amp;LEFT($C37,1),'Match Results'!$C:$M,11,FALSE)))</f>
        <v>0</v>
      </c>
      <c r="L37" s="31">
        <f t="shared" si="2"/>
        <v>2</v>
      </c>
    </row>
    <row r="38" spans="1:12" x14ac:dyDescent="0.25">
      <c r="A38" s="62" t="str">
        <f>VLOOKUP(LEFT($C38,1)&amp;$A$30&amp;RIGHT($C38,1),Players!$C:$H,6,FALSE)</f>
        <v>Roshan Jahangir &amp; Janine Lancashire</v>
      </c>
      <c r="B38" s="63"/>
      <c r="C38" s="29" t="s">
        <v>36</v>
      </c>
      <c r="D38" s="31" t="str">
        <f>IF(OR(LEFT($C38,1)=LEFT(D$30,1),RIGHT($C38,1)&lt;&gt;RIGHT(D$30,1)),"-",IF(LEFT($C38,1)&lt;LEFT(D$30,1),VLOOKUP($A$30&amp;RIGHT($C38,1)&amp;LEFT($C38,1)&amp;" v "&amp;LEFT(D$30,1),'Match Results'!$C:$M,10,FALSE),VLOOKUP($A$30&amp;RIGHT(D$30,1)&amp;LEFT(D$30,1)&amp;" v "&amp;LEFT($C38,1),'Match Results'!$C:$M,11,FALSE)))</f>
        <v>-</v>
      </c>
      <c r="E38" s="31">
        <f>IF(OR(LEFT($C38,1)=LEFT(E$30,1),RIGHT($C38,1)&lt;&gt;RIGHT(E$30,1)),"-",IF(LEFT($C38,1)&lt;LEFT(E$30,1),VLOOKUP($A$30&amp;RIGHT($C38,1)&amp;LEFT($C38,1)&amp;" v "&amp;LEFT(E$30,1),'Match Results'!$C:$M,10,FALSE),VLOOKUP($A$30&amp;RIGHT(E$30,1)&amp;LEFT(E$30,1)&amp;" v "&amp;LEFT($C38,1),'Match Results'!$C:$M,11,FALSE)))</f>
        <v>1</v>
      </c>
      <c r="F38" s="31" t="str">
        <f>IF(OR(LEFT($C38,1)=LEFT(F$30,1),RIGHT($C38,1)&lt;&gt;RIGHT(F$30,1)),"-",IF(LEFT($C38,1)&lt;LEFT(F$30,1),VLOOKUP($A$30&amp;RIGHT($C38,1)&amp;LEFT($C38,1)&amp;" v "&amp;LEFT(F$30,1),'Match Results'!$C:$M,10,FALSE),VLOOKUP($A$30&amp;RIGHT(F$30,1)&amp;LEFT(F$30,1)&amp;" v "&amp;LEFT($C38,1),'Match Results'!$C:$M,11,FALSE)))</f>
        <v>-</v>
      </c>
      <c r="G38" s="31">
        <f>IF(OR(LEFT($C38,1)=LEFT(G$30,1),RIGHT($C38,1)&lt;&gt;RIGHT(G$30,1)),"-",IF(LEFT($C38,1)&lt;LEFT(G$30,1),VLOOKUP($A$30&amp;RIGHT($C38,1)&amp;LEFT($C38,1)&amp;" v "&amp;LEFT(G$30,1),'Match Results'!$C:$M,10,FALSE),VLOOKUP($A$30&amp;RIGHT(G$30,1)&amp;LEFT(G$30,1)&amp;" v "&amp;LEFT($C38,1),'Match Results'!$C:$M,11,FALSE)))</f>
        <v>2</v>
      </c>
      <c r="H38" s="31" t="str">
        <f>IF(OR(LEFT($C38,1)=LEFT(H$30,1),RIGHT($C38,1)&lt;&gt;RIGHT(H$30,1)),"-",IF(LEFT($C38,1)&lt;LEFT(H$30,1),VLOOKUP($A$30&amp;RIGHT($C38,1)&amp;LEFT($C38,1)&amp;" v "&amp;LEFT(H$30,1),'Match Results'!$C:$M,10,FALSE),VLOOKUP($A$30&amp;RIGHT(H$30,1)&amp;LEFT(H$30,1)&amp;" v "&amp;LEFT($C38,1),'Match Results'!$C:$M,11,FALSE)))</f>
        <v>-</v>
      </c>
      <c r="I38" s="31">
        <f>IF(OR(LEFT($C38,1)=LEFT(I$30,1),RIGHT($C38,1)&lt;&gt;RIGHT(I$30,1)),"-",IF(LEFT($C38,1)&lt;LEFT(I$30,1),VLOOKUP($A$30&amp;RIGHT($C38,1)&amp;LEFT($C38,1)&amp;" v "&amp;LEFT(I$30,1),'Match Results'!$C:$M,10,FALSE),VLOOKUP($A$30&amp;RIGHT(I$30,1)&amp;LEFT(I$30,1)&amp;" v "&amp;LEFT($C38,1),'Match Results'!$C:$M,11,FALSE)))</f>
        <v>2</v>
      </c>
      <c r="J38" s="31" t="str">
        <f>IF(OR(LEFT($C38,1)=LEFT(J$30,1),RIGHT($C38,1)&lt;&gt;RIGHT(J$30,1)),"-",IF(LEFT($C38,1)&lt;LEFT(J$30,1),VLOOKUP($A$30&amp;RIGHT($C38,1)&amp;LEFT($C38,1)&amp;" v "&amp;LEFT(J$30,1),'Match Results'!$C:$M,10,FALSE),VLOOKUP($A$30&amp;RIGHT(J$30,1)&amp;LEFT(J$30,1)&amp;" v "&amp;LEFT($C38,1),'Match Results'!$C:$M,11,FALSE)))</f>
        <v>-</v>
      </c>
      <c r="K38" s="31" t="str">
        <f>IF(OR(LEFT($C38,1)=LEFT(K$30,1),RIGHT($C38,1)&lt;&gt;RIGHT(K$30,1)),"-",IF(LEFT($C38,1)&lt;LEFT(K$30,1),VLOOKUP($A$30&amp;RIGHT($C38,1)&amp;LEFT($C38,1)&amp;" v "&amp;LEFT(K$30,1),'Match Results'!$C:$M,10,FALSE),VLOOKUP($A$30&amp;RIGHT(K$30,1)&amp;LEFT(K$30,1)&amp;" v "&amp;LEFT($C38,1),'Match Results'!$C:$M,11,FALSE)))</f>
        <v>-</v>
      </c>
      <c r="L38" s="31">
        <f t="shared" si="2"/>
        <v>5</v>
      </c>
    </row>
    <row r="41" spans="1:12" x14ac:dyDescent="0.25">
      <c r="A41" s="27" t="s">
        <v>101</v>
      </c>
    </row>
    <row r="42" spans="1:12" x14ac:dyDescent="0.25">
      <c r="A42" s="27" t="s">
        <v>97</v>
      </c>
      <c r="B42" s="27">
        <f>COUNTIF('Match Results'!$H:H,1)+COUNTIF('Match Results'!$K:$K,1)</f>
        <v>8</v>
      </c>
    </row>
    <row r="43" spans="1:12" x14ac:dyDescent="0.25">
      <c r="A43" s="27" t="s">
        <v>98</v>
      </c>
      <c r="B43" s="27">
        <f>COUNTIF('Match Results'!$H:H,2)+COUNTIF('Match Results'!$K:$K,2)</f>
        <v>7</v>
      </c>
    </row>
    <row r="44" spans="1:12" x14ac:dyDescent="0.25">
      <c r="A44" s="27" t="s">
        <v>99</v>
      </c>
      <c r="B44" s="27">
        <f>COUNTIF('Match Results'!$H:H,3)+COUNTIF('Match Results'!$K:$K,3)</f>
        <v>6</v>
      </c>
    </row>
    <row r="45" spans="1:12" x14ac:dyDescent="0.25">
      <c r="A45" s="27" t="s">
        <v>100</v>
      </c>
      <c r="B45" s="61">
        <f>SUM(B42:B44)/48</f>
        <v>0.4375</v>
      </c>
    </row>
    <row r="47" spans="1:12" x14ac:dyDescent="0.25">
      <c r="A47" s="27" t="s">
        <v>160</v>
      </c>
      <c r="B47" s="27">
        <f>COUNTIF('Match Results'!L:L,1)</f>
        <v>8</v>
      </c>
    </row>
    <row r="49" spans="1:2" x14ac:dyDescent="0.25">
      <c r="A49" s="27" t="s">
        <v>161</v>
      </c>
      <c r="B49" s="27">
        <v>24</v>
      </c>
    </row>
  </sheetData>
  <mergeCells count="23">
    <mergeCell ref="A24:B24"/>
    <mergeCell ref="A3:E3"/>
    <mergeCell ref="A13:H13"/>
    <mergeCell ref="A14:B14"/>
    <mergeCell ref="A15:B15"/>
    <mergeCell ref="A16:B16"/>
    <mergeCell ref="A17:B17"/>
    <mergeCell ref="A18:B18"/>
    <mergeCell ref="A21:H21"/>
    <mergeCell ref="A22:B22"/>
    <mergeCell ref="A23:B23"/>
    <mergeCell ref="A38:B38"/>
    <mergeCell ref="A25:B25"/>
    <mergeCell ref="A26:B26"/>
    <mergeCell ref="A29:L29"/>
    <mergeCell ref="A30:B30"/>
    <mergeCell ref="A31:B31"/>
    <mergeCell ref="A35:B35"/>
    <mergeCell ref="A32:B32"/>
    <mergeCell ref="A36:B36"/>
    <mergeCell ref="A33:B33"/>
    <mergeCell ref="A37:B37"/>
    <mergeCell ref="A34:B34"/>
  </mergeCells>
  <conditionalFormatting sqref="A15:A18 C15:H18">
    <cfRule type="expression" dxfId="10" priority="3">
      <formula>$H15=MAX($H$15:$H$18)</formula>
    </cfRule>
  </conditionalFormatting>
  <conditionalFormatting sqref="A23:A26 C23:H26">
    <cfRule type="expression" dxfId="9" priority="2">
      <formula>$H23=MAX($H$23:$H$26)</formula>
    </cfRule>
  </conditionalFormatting>
  <conditionalFormatting sqref="A31:A38 C31:L38">
    <cfRule type="expression" dxfId="8" priority="10">
      <formula>$L31=MAX($L$31:$L$38)</formula>
    </cfRule>
  </conditionalFormatting>
  <conditionalFormatting sqref="B5:E5">
    <cfRule type="top10" dxfId="7" priority="7" rank="1"/>
  </conditionalFormatting>
  <conditionalFormatting sqref="B6:E6">
    <cfRule type="top10" dxfId="6" priority="6" rank="1"/>
  </conditionalFormatting>
  <conditionalFormatting sqref="B7:E9">
    <cfRule type="top10" dxfId="5" priority="5" rank="1"/>
  </conditionalFormatting>
  <conditionalFormatting sqref="B10:E10">
    <cfRule type="top10" dxfId="4" priority="4" rank="1"/>
  </conditionalFormatting>
  <pageMargins left="0.25" right="0.25" top="0.75" bottom="0.75" header="0.3" footer="0.3"/>
  <pageSetup paperSize="9" scale="6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68967-BD30-4859-A411-5F6F51EC5489}">
  <sheetPr codeName="Sheet4"/>
  <dimension ref="A1:G22"/>
  <sheetViews>
    <sheetView workbookViewId="0"/>
  </sheetViews>
  <sheetFormatPr defaultRowHeight="18.75" x14ac:dyDescent="0.3"/>
  <cols>
    <col min="1" max="1" width="10.7109375" style="45" customWidth="1"/>
    <col min="2" max="2" width="12.7109375" style="44" customWidth="1"/>
    <col min="3" max="3" width="30.7109375" style="44" customWidth="1"/>
    <col min="4" max="4" width="18.7109375" style="44" customWidth="1"/>
    <col min="5" max="5" width="10.7109375" style="44" customWidth="1"/>
    <col min="6" max="6" width="30.7109375" style="44" customWidth="1"/>
    <col min="7" max="7" width="18.7109375" style="44" customWidth="1"/>
    <col min="8" max="16384" width="9.140625" style="44"/>
  </cols>
  <sheetData>
    <row r="1" spans="1:7" ht="23.25" x14ac:dyDescent="0.35">
      <c r="A1" s="39" t="s">
        <v>134</v>
      </c>
    </row>
    <row r="2" spans="1:7" ht="21" customHeight="1" x14ac:dyDescent="0.35">
      <c r="A2" s="39"/>
    </row>
    <row r="3" spans="1:7" ht="21" x14ac:dyDescent="0.35">
      <c r="A3" s="46" t="s">
        <v>48</v>
      </c>
      <c r="B3" s="47" t="s">
        <v>73</v>
      </c>
      <c r="C3" s="47" t="s">
        <v>74</v>
      </c>
      <c r="D3" s="47" t="s">
        <v>90</v>
      </c>
      <c r="E3" s="47"/>
      <c r="F3" s="47" t="s">
        <v>75</v>
      </c>
      <c r="G3" s="47" t="s">
        <v>91</v>
      </c>
    </row>
    <row r="4" spans="1:7" ht="21" x14ac:dyDescent="0.35">
      <c r="A4" s="46">
        <v>1</v>
      </c>
      <c r="B4" s="47" t="s">
        <v>33</v>
      </c>
      <c r="C4" s="47" t="str">
        <f>Players!D4</f>
        <v>Jake White</v>
      </c>
      <c r="D4" s="47" t="str">
        <f>Players!E4</f>
        <v>Forest</v>
      </c>
      <c r="E4" s="47"/>
      <c r="F4" s="47" t="str">
        <f>Players!F4</f>
        <v>Dave Edgar</v>
      </c>
      <c r="G4" s="47" t="str">
        <f>Players!G4</f>
        <v>Forest</v>
      </c>
    </row>
    <row r="5" spans="1:7" ht="21" x14ac:dyDescent="0.35">
      <c r="A5" s="46">
        <v>1</v>
      </c>
      <c r="B5" s="47" t="s">
        <v>34</v>
      </c>
      <c r="C5" s="47" t="str">
        <f>Players!D5</f>
        <v>Catriona Golds</v>
      </c>
      <c r="D5" s="47" t="str">
        <f>Players!E5</f>
        <v>Manchester Edgeley</v>
      </c>
      <c r="E5" s="47"/>
      <c r="F5" s="47" t="str">
        <f>Players!F5</f>
        <v>Rachel Flood</v>
      </c>
      <c r="G5" s="47" t="str">
        <f>Players!G5</f>
        <v>Manchester Edgeley</v>
      </c>
    </row>
    <row r="6" spans="1:7" ht="21" x14ac:dyDescent="0.35">
      <c r="A6" s="46">
        <v>1</v>
      </c>
      <c r="B6" s="47" t="s">
        <v>45</v>
      </c>
      <c r="C6" s="47" t="str">
        <f>Players!D6</f>
        <v>James Kee</v>
      </c>
      <c r="D6" s="47" t="str">
        <f>Players!E6</f>
        <v>Manchester Edgeley</v>
      </c>
      <c r="E6" s="47"/>
      <c r="F6" s="47" t="str">
        <f>Players!F6</f>
        <v>Julie Leeming</v>
      </c>
      <c r="G6" s="47" t="str">
        <f>Players!G6</f>
        <v>Manchester Edgeley</v>
      </c>
    </row>
    <row r="7" spans="1:7" ht="21" x14ac:dyDescent="0.35">
      <c r="A7" s="46">
        <v>1</v>
      </c>
      <c r="B7" s="47" t="s">
        <v>46</v>
      </c>
      <c r="C7" s="47" t="str">
        <f>Players!D7</f>
        <v>Kerry Kirkwood</v>
      </c>
      <c r="D7" s="47" t="str">
        <f>Players!E7</f>
        <v>Forest</v>
      </c>
      <c r="E7" s="47"/>
      <c r="F7" s="47" t="str">
        <f>Players!F7</f>
        <v>Lisa Edgar</v>
      </c>
      <c r="G7" s="47" t="str">
        <f>Players!G7</f>
        <v>Manchester Edgeley</v>
      </c>
    </row>
    <row r="8" spans="1:7" ht="21" x14ac:dyDescent="0.35">
      <c r="A8" s="46"/>
      <c r="B8" s="47"/>
      <c r="C8" s="47"/>
      <c r="D8" s="47"/>
      <c r="E8" s="47"/>
      <c r="F8" s="47"/>
      <c r="G8" s="47"/>
    </row>
    <row r="9" spans="1:7" ht="21" x14ac:dyDescent="0.35">
      <c r="A9" s="46">
        <v>2</v>
      </c>
      <c r="B9" s="47" t="s">
        <v>33</v>
      </c>
      <c r="C9" s="47" t="str">
        <f>Players!D8</f>
        <v>Michael Featherstone</v>
      </c>
      <c r="D9" s="47" t="str">
        <f>Players!E8</f>
        <v>Dome</v>
      </c>
      <c r="E9" s="47"/>
      <c r="F9" s="47" t="str">
        <f>Players!F8</f>
        <v>Ryan Tai</v>
      </c>
      <c r="G9" s="47" t="str">
        <f>Players!G8</f>
        <v>Dome</v>
      </c>
    </row>
    <row r="10" spans="1:7" ht="21" x14ac:dyDescent="0.35">
      <c r="A10" s="46">
        <v>2</v>
      </c>
      <c r="B10" s="47" t="s">
        <v>34</v>
      </c>
      <c r="C10" s="47" t="str">
        <f>Players!D9</f>
        <v>Araadhna Singh</v>
      </c>
      <c r="D10" s="47" t="str">
        <f>Players!E9</f>
        <v>Forest</v>
      </c>
      <c r="E10" s="47"/>
      <c r="F10" s="47" t="str">
        <f>Players!F9</f>
        <v>Hannah Burke</v>
      </c>
      <c r="G10" s="47" t="str">
        <f>Players!G9</f>
        <v>Medlock</v>
      </c>
    </row>
    <row r="11" spans="1:7" ht="21" x14ac:dyDescent="0.35">
      <c r="A11" s="46">
        <v>2</v>
      </c>
      <c r="B11" s="47" t="s">
        <v>45</v>
      </c>
      <c r="C11" s="47" t="str">
        <f>Players!D10</f>
        <v>Duncan Hurlstone</v>
      </c>
      <c r="D11" s="47" t="str">
        <f>Players!E10</f>
        <v>Forest</v>
      </c>
      <c r="E11" s="47"/>
      <c r="F11" s="47" t="str">
        <f>Players!F10</f>
        <v>Emily Stapley</v>
      </c>
      <c r="G11" s="47" t="str">
        <f>Players!G10</f>
        <v>Forest</v>
      </c>
    </row>
    <row r="12" spans="1:7" ht="21" x14ac:dyDescent="0.35">
      <c r="A12" s="46">
        <v>2</v>
      </c>
      <c r="B12" s="47" t="s">
        <v>46</v>
      </c>
      <c r="C12" s="47" t="str">
        <f>Players!D11</f>
        <v>Andy Foy</v>
      </c>
      <c r="D12" s="47" t="str">
        <f>Players!E11</f>
        <v>Forest</v>
      </c>
      <c r="E12" s="47"/>
      <c r="F12" s="47" t="str">
        <f>Players!F11</f>
        <v>Lesley Fryer</v>
      </c>
      <c r="G12" s="47" t="str">
        <f>Players!G11</f>
        <v>Forest</v>
      </c>
    </row>
    <row r="13" spans="1:7" ht="21" x14ac:dyDescent="0.35">
      <c r="A13" s="46"/>
      <c r="B13" s="47"/>
      <c r="C13" s="47"/>
      <c r="D13" s="47"/>
      <c r="E13" s="47"/>
      <c r="F13" s="47"/>
      <c r="G13" s="47"/>
    </row>
    <row r="14" spans="1:7" ht="21" x14ac:dyDescent="0.35">
      <c r="A14" s="46">
        <v>3</v>
      </c>
      <c r="B14" s="47" t="s">
        <v>33</v>
      </c>
      <c r="C14" s="47" t="str">
        <f>Players!D12</f>
        <v>Jetmond Ma</v>
      </c>
      <c r="D14" s="47" t="str">
        <f>Players!E12</f>
        <v>ACE</v>
      </c>
      <c r="E14" s="47"/>
      <c r="F14" s="47" t="str">
        <f>Players!F12</f>
        <v>Yu Hin Wong</v>
      </c>
      <c r="G14" s="47" t="str">
        <f>Players!G12</f>
        <v>ACE</v>
      </c>
    </row>
    <row r="15" spans="1:7" ht="21" x14ac:dyDescent="0.35">
      <c r="A15" s="46">
        <v>3</v>
      </c>
      <c r="B15" s="47" t="s">
        <v>34</v>
      </c>
      <c r="C15" s="47" t="str">
        <f>Players!D13</f>
        <v>Hema Mistry</v>
      </c>
      <c r="D15" s="47" t="str">
        <f>Players!E13</f>
        <v>Medlock</v>
      </c>
      <c r="E15" s="47"/>
      <c r="F15" s="47" t="str">
        <f>Players!F13</f>
        <v>Katie Donegan</v>
      </c>
      <c r="G15" s="47" t="str">
        <f>Players!G13</f>
        <v>Medlock</v>
      </c>
    </row>
    <row r="16" spans="1:7" ht="21" x14ac:dyDescent="0.35">
      <c r="A16" s="46">
        <v>3</v>
      </c>
      <c r="B16" s="47" t="s">
        <v>45</v>
      </c>
      <c r="C16" s="47" t="str">
        <f>Players!D14</f>
        <v>Pasha Riley</v>
      </c>
      <c r="D16" s="47" t="str">
        <f>Players!E14</f>
        <v>Yeti</v>
      </c>
      <c r="E16" s="47"/>
      <c r="F16" s="47" t="str">
        <f>Players!F14</f>
        <v>Avril Sloane</v>
      </c>
      <c r="G16" s="47" t="str">
        <f>Players!G14</f>
        <v>Yeti</v>
      </c>
    </row>
    <row r="17" spans="1:7" ht="21" x14ac:dyDescent="0.35">
      <c r="A17" s="46">
        <v>3</v>
      </c>
      <c r="B17" s="47" t="s">
        <v>46</v>
      </c>
      <c r="C17" s="47" t="str">
        <f>Players!D15</f>
        <v>Jahangir Hussain</v>
      </c>
      <c r="D17" s="47" t="str">
        <f>Players!E15</f>
        <v>Cheadle Hulme</v>
      </c>
      <c r="E17" s="47"/>
      <c r="F17" s="47" t="str">
        <f>Players!F15</f>
        <v>Helen Yates</v>
      </c>
      <c r="G17" s="47" t="str">
        <f>Players!G15</f>
        <v>Blue Triangle</v>
      </c>
    </row>
    <row r="18" spans="1:7" ht="21" x14ac:dyDescent="0.35">
      <c r="A18" s="46"/>
      <c r="B18" s="47"/>
      <c r="C18" s="47"/>
      <c r="D18" s="47"/>
      <c r="E18" s="47"/>
      <c r="F18" s="47"/>
      <c r="G18" s="47"/>
    </row>
    <row r="19" spans="1:7" ht="21" x14ac:dyDescent="0.35">
      <c r="A19" s="46">
        <v>4</v>
      </c>
      <c r="B19" s="47" t="s">
        <v>33</v>
      </c>
      <c r="C19" s="47" t="str">
        <f>Players!D16</f>
        <v>Ji Qiao</v>
      </c>
      <c r="D19" s="47" t="str">
        <f>Players!E16</f>
        <v>Silver Feather</v>
      </c>
      <c r="F19" s="47" t="str">
        <f>Players!F16</f>
        <v>Henry Noorveriandi</v>
      </c>
      <c r="G19" s="47" t="str">
        <f>Players!G16</f>
        <v>Silver Feather</v>
      </c>
    </row>
    <row r="20" spans="1:7" ht="21" x14ac:dyDescent="0.35">
      <c r="A20" s="46">
        <v>4</v>
      </c>
      <c r="B20" s="47" t="s">
        <v>34</v>
      </c>
      <c r="C20" s="47" t="str">
        <f>Players!D17</f>
        <v>Anne Tang</v>
      </c>
      <c r="D20" s="60" t="str">
        <f>Players!E17</f>
        <v>Nettles</v>
      </c>
      <c r="F20" s="47" t="str">
        <f>Players!F17</f>
        <v>Stephanie Wyatt</v>
      </c>
      <c r="G20" s="60" t="str">
        <f>Players!G17</f>
        <v>Nettles</v>
      </c>
    </row>
    <row r="21" spans="1:7" ht="21" x14ac:dyDescent="0.35">
      <c r="A21" s="46">
        <v>4</v>
      </c>
      <c r="B21" s="47" t="s">
        <v>45</v>
      </c>
      <c r="C21" s="47" t="str">
        <f>Players!D18</f>
        <v>Rob Kirkpatrick</v>
      </c>
      <c r="D21" s="47" t="str">
        <f>Players!E18</f>
        <v>Silver Feather</v>
      </c>
      <c r="F21" s="47" t="str">
        <f>Players!F18</f>
        <v>Sally Dowgill</v>
      </c>
      <c r="G21" s="47" t="str">
        <f>Players!G18</f>
        <v>Silver Feather</v>
      </c>
    </row>
    <row r="22" spans="1:7" ht="21" x14ac:dyDescent="0.35">
      <c r="A22" s="46">
        <v>4</v>
      </c>
      <c r="B22" s="47" t="s">
        <v>46</v>
      </c>
      <c r="C22" s="47" t="str">
        <f>Players!D19</f>
        <v>Roshan Jahangir</v>
      </c>
      <c r="D22" s="47" t="str">
        <f>Players!E19</f>
        <v>Cheadle Hulme</v>
      </c>
      <c r="F22" s="47" t="str">
        <f>Players!F19</f>
        <v>Janine Lancashire</v>
      </c>
      <c r="G22" s="47" t="str">
        <f>Players!G19</f>
        <v>Cheadle Hulme</v>
      </c>
    </row>
  </sheetData>
  <sheetProtection sheet="1" objects="1" scenarios="1"/>
  <pageMargins left="0.25" right="0.25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I47"/>
  <sheetViews>
    <sheetView zoomScaleNormal="100" workbookViewId="0">
      <selection sqref="A1:I1"/>
    </sheetView>
  </sheetViews>
  <sheetFormatPr defaultRowHeight="15" x14ac:dyDescent="0.25"/>
  <cols>
    <col min="1" max="9" width="10.7109375" customWidth="1"/>
  </cols>
  <sheetData>
    <row r="1" spans="1:9" s="5" customFormat="1" ht="18" x14ac:dyDescent="0.25">
      <c r="A1" s="89" t="s">
        <v>43</v>
      </c>
      <c r="B1" s="89"/>
      <c r="C1" s="89"/>
      <c r="D1" s="89"/>
      <c r="E1" s="89"/>
      <c r="F1" s="89"/>
      <c r="G1" s="89"/>
      <c r="H1" s="89"/>
      <c r="I1" s="89"/>
    </row>
    <row r="2" spans="1:9" s="5" customFormat="1" ht="25.5" x14ac:dyDescent="0.35">
      <c r="A2" s="92" t="s">
        <v>21</v>
      </c>
      <c r="B2" s="92"/>
      <c r="C2" s="92"/>
      <c r="D2" s="92"/>
      <c r="E2" s="92"/>
      <c r="F2" s="92"/>
      <c r="G2" s="92"/>
      <c r="H2" s="92"/>
      <c r="I2" s="92"/>
    </row>
    <row r="3" spans="1:9" s="5" customFormat="1" ht="19.5" x14ac:dyDescent="0.25">
      <c r="A3" s="93" t="s">
        <v>22</v>
      </c>
      <c r="B3" s="93"/>
      <c r="C3" s="93"/>
      <c r="D3" s="93"/>
      <c r="E3" s="93"/>
      <c r="F3" s="93"/>
      <c r="G3" s="93"/>
      <c r="H3" s="93"/>
      <c r="I3" s="93"/>
    </row>
    <row r="4" spans="1:9" s="5" customFormat="1" x14ac:dyDescent="0.25">
      <c r="A4" s="94" t="s">
        <v>23</v>
      </c>
      <c r="B4" s="94"/>
      <c r="C4" s="94"/>
      <c r="D4" s="94"/>
      <c r="E4" s="94"/>
      <c r="F4" s="94"/>
      <c r="G4" s="94"/>
      <c r="H4" s="94"/>
      <c r="I4" s="94"/>
    </row>
    <row r="5" spans="1:9" s="5" customFormat="1" x14ac:dyDescent="0.25">
      <c r="A5" s="6"/>
    </row>
    <row r="6" spans="1:9" s="5" customFormat="1" x14ac:dyDescent="0.25">
      <c r="A6" s="6"/>
    </row>
    <row r="7" spans="1:9" s="5" customFormat="1" ht="18.75" x14ac:dyDescent="0.3">
      <c r="A7" s="9" t="s">
        <v>25</v>
      </c>
      <c r="B7" s="90"/>
      <c r="C7" s="90"/>
      <c r="D7" s="9" t="s">
        <v>26</v>
      </c>
      <c r="F7" s="13"/>
      <c r="G7" s="9"/>
      <c r="H7" s="17"/>
    </row>
    <row r="8" spans="1:9" s="5" customFormat="1" x14ac:dyDescent="0.25">
      <c r="A8" s="7"/>
      <c r="B8" s="41" t="s">
        <v>51</v>
      </c>
    </row>
    <row r="9" spans="1:9" s="5" customFormat="1" x14ac:dyDescent="0.25">
      <c r="A9" s="10"/>
    </row>
    <row r="10" spans="1:9" s="11" customFormat="1" x14ac:dyDescent="0.25">
      <c r="A10" s="91" t="s">
        <v>27</v>
      </c>
      <c r="B10" s="91"/>
      <c r="C10" s="15"/>
      <c r="D10" s="14"/>
      <c r="F10" s="91" t="s">
        <v>27</v>
      </c>
      <c r="G10" s="91"/>
      <c r="H10" s="15"/>
      <c r="I10" s="14"/>
    </row>
    <row r="11" spans="1:9" s="11" customFormat="1" x14ac:dyDescent="0.25">
      <c r="A11" s="91" t="s">
        <v>28</v>
      </c>
      <c r="B11" s="91"/>
      <c r="C11" s="15"/>
      <c r="D11" s="14"/>
      <c r="E11" s="12" t="s">
        <v>24</v>
      </c>
      <c r="F11" s="91" t="s">
        <v>28</v>
      </c>
      <c r="G11" s="91"/>
      <c r="H11" s="15"/>
      <c r="I11" s="14"/>
    </row>
    <row r="12" spans="1:9" s="5" customFormat="1" x14ac:dyDescent="0.25">
      <c r="A12" s="96"/>
      <c r="B12" s="96"/>
      <c r="C12" s="96"/>
      <c r="D12" s="96"/>
      <c r="F12" s="96"/>
      <c r="G12" s="96"/>
      <c r="H12" s="96"/>
      <c r="I12" s="96"/>
    </row>
    <row r="13" spans="1:9" s="5" customFormat="1" x14ac:dyDescent="0.25">
      <c r="A13" s="96"/>
      <c r="B13" s="96"/>
      <c r="C13" s="96"/>
      <c r="D13" s="96"/>
      <c r="F13" s="96"/>
      <c r="G13" s="96"/>
      <c r="H13" s="96"/>
      <c r="I13" s="96"/>
    </row>
    <row r="14" spans="1:9" s="5" customFormat="1" ht="9" customHeight="1" x14ac:dyDescent="0.25">
      <c r="A14" s="16"/>
      <c r="B14" s="16"/>
      <c r="C14" s="16"/>
      <c r="D14" s="16"/>
      <c r="F14" s="16"/>
      <c r="G14" s="16"/>
      <c r="H14" s="16"/>
      <c r="I14" s="16"/>
    </row>
    <row r="15" spans="1:9" s="5" customFormat="1" ht="18.75" x14ac:dyDescent="0.3">
      <c r="A15" s="16"/>
      <c r="B15" s="16"/>
      <c r="C15" s="16"/>
      <c r="D15" s="16"/>
      <c r="E15" s="13" t="s">
        <v>44</v>
      </c>
      <c r="F15" s="16"/>
      <c r="G15" s="16"/>
      <c r="H15" s="16"/>
      <c r="I15" s="16"/>
    </row>
    <row r="16" spans="1:9" s="5" customFormat="1" ht="15.75" x14ac:dyDescent="0.25">
      <c r="A16" s="8"/>
      <c r="D16" s="15"/>
      <c r="F16" s="15"/>
    </row>
    <row r="17" spans="1:9" s="5" customFormat="1" ht="15.75" x14ac:dyDescent="0.25">
      <c r="A17" s="8"/>
    </row>
    <row r="18" spans="1:9" s="5" customFormat="1" ht="18.75" x14ac:dyDescent="0.3">
      <c r="E18" s="95" t="s">
        <v>29</v>
      </c>
      <c r="F18" s="95"/>
    </row>
    <row r="19" spans="1:9" s="5" customFormat="1" x14ac:dyDescent="0.25">
      <c r="A19" s="9"/>
      <c r="C19" s="11" t="s">
        <v>30</v>
      </c>
      <c r="E19" s="20"/>
      <c r="F19" s="20"/>
    </row>
    <row r="20" spans="1:9" s="5" customFormat="1" x14ac:dyDescent="0.25">
      <c r="C20" s="11" t="s">
        <v>31</v>
      </c>
      <c r="E20" s="20"/>
      <c r="F20" s="20"/>
    </row>
    <row r="21" spans="1:9" s="5" customFormat="1" x14ac:dyDescent="0.25">
      <c r="A21" s="9"/>
      <c r="C21" s="21" t="s">
        <v>32</v>
      </c>
      <c r="E21" s="20"/>
      <c r="F21" s="20"/>
      <c r="G21" s="11"/>
    </row>
    <row r="22" spans="1:9" s="5" customFormat="1" x14ac:dyDescent="0.25">
      <c r="A22" s="9"/>
      <c r="E22" s="17"/>
      <c r="F22" s="17"/>
      <c r="G22" s="11"/>
    </row>
    <row r="23" spans="1:9" s="5" customFormat="1" x14ac:dyDescent="0.25">
      <c r="A23" s="9"/>
      <c r="E23" s="17"/>
      <c r="F23" s="17"/>
      <c r="G23" s="11"/>
    </row>
    <row r="24" spans="1:9" s="5" customFormat="1" x14ac:dyDescent="0.25">
      <c r="A24" s="9"/>
      <c r="E24" s="17"/>
      <c r="F24" s="17"/>
      <c r="G24" s="11"/>
    </row>
    <row r="25" spans="1:9" s="5" customFormat="1" x14ac:dyDescent="0.25">
      <c r="A25" s="9"/>
      <c r="E25" s="17"/>
      <c r="F25" s="17"/>
      <c r="G25" s="11"/>
    </row>
    <row r="26" spans="1:9" s="5" customFormat="1" x14ac:dyDescent="0.25">
      <c r="A26" s="9"/>
    </row>
    <row r="27" spans="1:9" s="5" customFormat="1" ht="18" x14ac:dyDescent="0.25">
      <c r="A27" s="89" t="s">
        <v>43</v>
      </c>
      <c r="B27" s="89"/>
      <c r="C27" s="89"/>
      <c r="D27" s="89"/>
      <c r="E27" s="89"/>
      <c r="F27" s="89"/>
      <c r="G27" s="89"/>
      <c r="H27" s="89"/>
      <c r="I27" s="89"/>
    </row>
    <row r="28" spans="1:9" s="5" customFormat="1" ht="25.5" x14ac:dyDescent="0.35">
      <c r="A28" s="92" t="s">
        <v>21</v>
      </c>
      <c r="B28" s="92"/>
      <c r="C28" s="92"/>
      <c r="D28" s="92"/>
      <c r="E28" s="92"/>
      <c r="F28" s="92"/>
      <c r="G28" s="92"/>
      <c r="H28" s="92"/>
      <c r="I28" s="92"/>
    </row>
    <row r="29" spans="1:9" s="5" customFormat="1" ht="19.5" x14ac:dyDescent="0.25">
      <c r="A29" s="93" t="s">
        <v>22</v>
      </c>
      <c r="B29" s="93"/>
      <c r="C29" s="93"/>
      <c r="D29" s="93"/>
      <c r="E29" s="93"/>
      <c r="F29" s="93"/>
      <c r="G29" s="93"/>
      <c r="H29" s="93"/>
      <c r="I29" s="93"/>
    </row>
    <row r="30" spans="1:9" s="5" customFormat="1" x14ac:dyDescent="0.25">
      <c r="A30" s="94" t="s">
        <v>23</v>
      </c>
      <c r="B30" s="94"/>
      <c r="C30" s="94"/>
      <c r="D30" s="94"/>
      <c r="E30" s="94"/>
      <c r="F30" s="94"/>
      <c r="G30" s="94"/>
      <c r="H30" s="94"/>
      <c r="I30" s="94"/>
    </row>
    <row r="31" spans="1:9" s="5" customFormat="1" x14ac:dyDescent="0.25">
      <c r="A31" s="6"/>
    </row>
    <row r="32" spans="1:9" s="5" customFormat="1" x14ac:dyDescent="0.25">
      <c r="A32" s="6"/>
    </row>
    <row r="33" spans="1:9" s="5" customFormat="1" ht="18.75" x14ac:dyDescent="0.3">
      <c r="A33" s="9" t="s">
        <v>25</v>
      </c>
      <c r="B33" s="90"/>
      <c r="C33" s="90"/>
      <c r="D33" s="9" t="s">
        <v>26</v>
      </c>
      <c r="F33" s="13"/>
      <c r="G33" s="22"/>
      <c r="H33" s="17"/>
    </row>
    <row r="34" spans="1:9" s="5" customFormat="1" x14ac:dyDescent="0.25">
      <c r="A34" s="7"/>
    </row>
    <row r="35" spans="1:9" s="5" customFormat="1" x14ac:dyDescent="0.25">
      <c r="A35" s="10"/>
    </row>
    <row r="36" spans="1:9" s="5" customFormat="1" x14ac:dyDescent="0.25">
      <c r="A36" s="91" t="s">
        <v>27</v>
      </c>
      <c r="B36" s="91"/>
      <c r="C36" s="15"/>
      <c r="D36" s="14"/>
      <c r="E36" s="11"/>
      <c r="F36" s="91" t="s">
        <v>27</v>
      </c>
      <c r="G36" s="91"/>
      <c r="H36" s="15"/>
      <c r="I36" s="14"/>
    </row>
    <row r="37" spans="1:9" s="5" customFormat="1" x14ac:dyDescent="0.25">
      <c r="A37" s="91" t="s">
        <v>28</v>
      </c>
      <c r="B37" s="91"/>
      <c r="C37" s="15"/>
      <c r="D37" s="14"/>
      <c r="E37" s="12" t="s">
        <v>24</v>
      </c>
      <c r="F37" s="91" t="s">
        <v>28</v>
      </c>
      <c r="G37" s="91"/>
      <c r="H37" s="15"/>
      <c r="I37" s="14"/>
    </row>
    <row r="38" spans="1:9" s="5" customFormat="1" x14ac:dyDescent="0.25">
      <c r="A38" s="96"/>
      <c r="B38" s="96"/>
      <c r="C38" s="96"/>
      <c r="D38" s="96"/>
      <c r="F38" s="96"/>
      <c r="G38" s="96"/>
      <c r="H38" s="96"/>
      <c r="I38" s="96"/>
    </row>
    <row r="39" spans="1:9" s="5" customFormat="1" x14ac:dyDescent="0.25">
      <c r="A39" s="96"/>
      <c r="B39" s="96"/>
      <c r="C39" s="96"/>
      <c r="D39" s="96"/>
      <c r="F39" s="96"/>
      <c r="G39" s="96"/>
      <c r="H39" s="96"/>
      <c r="I39" s="96"/>
    </row>
    <row r="40" spans="1:9" s="5" customFormat="1" x14ac:dyDescent="0.25">
      <c r="A40" s="16"/>
      <c r="B40" s="16"/>
      <c r="C40" s="16"/>
      <c r="D40" s="16"/>
      <c r="F40" s="16"/>
      <c r="G40" s="16"/>
      <c r="H40" s="16"/>
      <c r="I40" s="16"/>
    </row>
    <row r="41" spans="1:9" s="5" customFormat="1" ht="18.75" x14ac:dyDescent="0.3">
      <c r="A41" s="16"/>
      <c r="B41" s="16"/>
      <c r="C41" s="16"/>
      <c r="D41" s="16"/>
      <c r="E41" s="13" t="s">
        <v>44</v>
      </c>
      <c r="F41" s="16"/>
      <c r="G41" s="16"/>
      <c r="H41" s="16"/>
      <c r="I41" s="16"/>
    </row>
    <row r="42" spans="1:9" s="5" customFormat="1" ht="15.75" x14ac:dyDescent="0.25">
      <c r="A42" s="8"/>
      <c r="D42" s="15"/>
      <c r="F42" s="15"/>
    </row>
    <row r="43" spans="1:9" s="5" customFormat="1" ht="15.75" x14ac:dyDescent="0.25">
      <c r="A43" s="8"/>
    </row>
    <row r="44" spans="1:9" s="5" customFormat="1" ht="18.75" x14ac:dyDescent="0.3">
      <c r="E44" s="95" t="s">
        <v>29</v>
      </c>
      <c r="F44" s="95"/>
    </row>
    <row r="45" spans="1:9" s="5" customFormat="1" x14ac:dyDescent="0.25">
      <c r="A45" s="9"/>
      <c r="C45" s="11" t="s">
        <v>30</v>
      </c>
      <c r="E45" s="20"/>
      <c r="F45" s="20"/>
    </row>
    <row r="46" spans="1:9" s="5" customFormat="1" x14ac:dyDescent="0.25">
      <c r="C46" s="11" t="s">
        <v>31</v>
      </c>
      <c r="E46" s="20"/>
      <c r="F46" s="20"/>
    </row>
    <row r="47" spans="1:9" s="5" customFormat="1" x14ac:dyDescent="0.25">
      <c r="A47" s="9"/>
      <c r="C47" s="21" t="s">
        <v>32</v>
      </c>
      <c r="E47" s="20"/>
      <c r="F47" s="20"/>
    </row>
  </sheetData>
  <sheetProtection sheet="1" objects="1" scenarios="1"/>
  <mergeCells count="28">
    <mergeCell ref="E44:F44"/>
    <mergeCell ref="A39:D39"/>
    <mergeCell ref="F39:I39"/>
    <mergeCell ref="A13:D13"/>
    <mergeCell ref="F13:I13"/>
    <mergeCell ref="A37:B37"/>
    <mergeCell ref="F37:G37"/>
    <mergeCell ref="A27:I27"/>
    <mergeCell ref="A29:I29"/>
    <mergeCell ref="A36:B36"/>
    <mergeCell ref="F36:G36"/>
    <mergeCell ref="A38:D38"/>
    <mergeCell ref="F38:I38"/>
    <mergeCell ref="E18:F18"/>
    <mergeCell ref="A28:I28"/>
    <mergeCell ref="A1:I1"/>
    <mergeCell ref="A3:I3"/>
    <mergeCell ref="B33:C33"/>
    <mergeCell ref="A12:D12"/>
    <mergeCell ref="F12:I12"/>
    <mergeCell ref="B7:C7"/>
    <mergeCell ref="A10:B10"/>
    <mergeCell ref="F10:G10"/>
    <mergeCell ref="A11:B11"/>
    <mergeCell ref="F11:G11"/>
    <mergeCell ref="A2:I2"/>
    <mergeCell ref="A4:I4"/>
    <mergeCell ref="A30:I30"/>
  </mergeCells>
  <phoneticPr fontId="14" type="noConversion"/>
  <pageMargins left="0.7" right="0.7" top="0.75" bottom="0.75" header="0.3" footer="0.3"/>
  <pageSetup paperSize="9" scale="9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B5"/>
  <sheetViews>
    <sheetView workbookViewId="0"/>
  </sheetViews>
  <sheetFormatPr defaultRowHeight="15" x14ac:dyDescent="0.25"/>
  <cols>
    <col min="1" max="2" width="12.7109375" style="25" customWidth="1"/>
    <col min="3" max="16384" width="9.140625" style="23"/>
  </cols>
  <sheetData>
    <row r="1" spans="1:2" x14ac:dyDescent="0.25">
      <c r="A1" s="25" t="s">
        <v>48</v>
      </c>
      <c r="B1" s="25" t="s">
        <v>82</v>
      </c>
    </row>
    <row r="2" spans="1:2" x14ac:dyDescent="0.25">
      <c r="A2" s="25">
        <v>1</v>
      </c>
      <c r="B2" s="49">
        <v>-15</v>
      </c>
    </row>
    <row r="3" spans="1:2" x14ac:dyDescent="0.25">
      <c r="A3" s="25">
        <v>2</v>
      </c>
      <c r="B3" s="49">
        <v>4</v>
      </c>
    </row>
    <row r="4" spans="1:2" x14ac:dyDescent="0.25">
      <c r="A4" s="25">
        <v>3</v>
      </c>
      <c r="B4" s="49">
        <v>8</v>
      </c>
    </row>
    <row r="5" spans="1:2" x14ac:dyDescent="0.25">
      <c r="A5" s="25">
        <v>4</v>
      </c>
      <c r="B5" s="49">
        <v>12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K7"/>
  <sheetViews>
    <sheetView workbookViewId="0"/>
  </sheetViews>
  <sheetFormatPr defaultRowHeight="15" x14ac:dyDescent="0.25"/>
  <cols>
    <col min="1" max="4" width="9.140625" style="16"/>
    <col min="5" max="10" width="14.7109375" style="16" customWidth="1"/>
    <col min="11" max="11" width="9.140625" style="16"/>
  </cols>
  <sheetData>
    <row r="1" spans="1:11" x14ac:dyDescent="0.25">
      <c r="A1" s="16" t="s">
        <v>58</v>
      </c>
      <c r="B1" s="16" t="s">
        <v>59</v>
      </c>
      <c r="C1" s="16" t="s">
        <v>87</v>
      </c>
      <c r="D1" s="16" t="s">
        <v>88</v>
      </c>
      <c r="E1" s="25" t="s">
        <v>63</v>
      </c>
      <c r="F1" s="25" t="s">
        <v>64</v>
      </c>
      <c r="G1" s="25" t="s">
        <v>65</v>
      </c>
      <c r="H1" s="25" t="s">
        <v>66</v>
      </c>
      <c r="I1" s="16" t="s">
        <v>83</v>
      </c>
      <c r="J1" s="16" t="s">
        <v>84</v>
      </c>
      <c r="K1" s="16" t="s">
        <v>58</v>
      </c>
    </row>
    <row r="2" spans="1:11" x14ac:dyDescent="0.25">
      <c r="A2" s="16">
        <v>1</v>
      </c>
      <c r="B2" s="16" t="s">
        <v>37</v>
      </c>
      <c r="C2" s="16">
        <f t="shared" ref="C2:C7" si="0">LEFT(B2)*1</f>
        <v>1</v>
      </c>
      <c r="D2" s="16">
        <f t="shared" ref="D2:D7" si="1">RIGHT(B2)*1</f>
        <v>2</v>
      </c>
      <c r="E2" s="16">
        <f>VLOOKUP(C2,Handicaps!$A:$B,2,FALSE)</f>
        <v>-15</v>
      </c>
      <c r="F2" s="16">
        <f>VLOOKUP(D2,Handicaps!$A:$B,2,FALSE)</f>
        <v>4</v>
      </c>
      <c r="G2" s="16">
        <f>IF(($E2&lt;0),$E2,0)</f>
        <v>-15</v>
      </c>
      <c r="H2" s="16">
        <f>IF(OR($E2&lt;=0,E2=0),$F2,$F2-$E2+1)</f>
        <v>4</v>
      </c>
      <c r="I2" s="16">
        <f>ROUNDUP(E2+((21-E2)/2),0)</f>
        <v>3</v>
      </c>
      <c r="J2" s="16">
        <f>ROUNDUP(F2+((21-F2)/2),0)</f>
        <v>13</v>
      </c>
      <c r="K2" s="16">
        <v>1</v>
      </c>
    </row>
    <row r="3" spans="1:11" x14ac:dyDescent="0.25">
      <c r="A3" s="16">
        <v>2</v>
      </c>
      <c r="B3" s="16" t="s">
        <v>41</v>
      </c>
      <c r="C3" s="16">
        <f t="shared" si="0"/>
        <v>3</v>
      </c>
      <c r="D3" s="16">
        <f t="shared" si="1"/>
        <v>4</v>
      </c>
      <c r="E3" s="16">
        <f>VLOOKUP(C3,Handicaps!$A:$B,2,FALSE)</f>
        <v>8</v>
      </c>
      <c r="F3" s="16">
        <f>VLOOKUP(D3,Handicaps!$A:$B,2,FALSE)</f>
        <v>12</v>
      </c>
      <c r="G3" s="16">
        <f t="shared" ref="G3:G7" si="2">IF(($E3&lt;0),$E3,0)</f>
        <v>0</v>
      </c>
      <c r="H3" s="16">
        <f t="shared" ref="H3:H7" si="3">IF(OR($E3&lt;=0,E3=0),$F3,$F3-$E3+1)</f>
        <v>5</v>
      </c>
      <c r="I3" s="16">
        <f t="shared" ref="I3:I7" si="4">ROUNDUP(E3+((21-E3)/2),0)</f>
        <v>15</v>
      </c>
      <c r="J3" s="16">
        <f t="shared" ref="J3:J7" si="5">ROUNDUP(F3+((21-F3)/2),0)</f>
        <v>17</v>
      </c>
      <c r="K3" s="16">
        <v>2</v>
      </c>
    </row>
    <row r="4" spans="1:11" x14ac:dyDescent="0.25">
      <c r="A4" s="16">
        <v>3</v>
      </c>
      <c r="B4" s="16" t="s">
        <v>40</v>
      </c>
      <c r="C4" s="16">
        <f t="shared" si="0"/>
        <v>2</v>
      </c>
      <c r="D4" s="16">
        <f t="shared" si="1"/>
        <v>3</v>
      </c>
      <c r="E4" s="16">
        <f>VLOOKUP(C4,Handicaps!$A:$B,2,FALSE)</f>
        <v>4</v>
      </c>
      <c r="F4" s="16">
        <f>VLOOKUP(D4,Handicaps!$A:$B,2,FALSE)</f>
        <v>8</v>
      </c>
      <c r="G4" s="16">
        <f t="shared" si="2"/>
        <v>0</v>
      </c>
      <c r="H4" s="16">
        <f t="shared" si="3"/>
        <v>5</v>
      </c>
      <c r="I4" s="16">
        <f t="shared" si="4"/>
        <v>13</v>
      </c>
      <c r="J4" s="16">
        <f t="shared" si="5"/>
        <v>15</v>
      </c>
      <c r="K4" s="16">
        <v>3</v>
      </c>
    </row>
    <row r="5" spans="1:11" x14ac:dyDescent="0.25">
      <c r="A5" s="16">
        <v>4</v>
      </c>
      <c r="B5" s="16" t="s">
        <v>39</v>
      </c>
      <c r="C5" s="16">
        <f t="shared" si="0"/>
        <v>1</v>
      </c>
      <c r="D5" s="16">
        <f t="shared" si="1"/>
        <v>4</v>
      </c>
      <c r="E5" s="16">
        <f>VLOOKUP(C5,Handicaps!$A:$B,2,FALSE)</f>
        <v>-15</v>
      </c>
      <c r="F5" s="16">
        <f>VLOOKUP(D5,Handicaps!$A:$B,2,FALSE)</f>
        <v>12</v>
      </c>
      <c r="G5" s="16">
        <f t="shared" si="2"/>
        <v>-15</v>
      </c>
      <c r="H5" s="16">
        <f t="shared" si="3"/>
        <v>12</v>
      </c>
      <c r="I5" s="16">
        <f t="shared" si="4"/>
        <v>3</v>
      </c>
      <c r="J5" s="16">
        <f t="shared" si="5"/>
        <v>17</v>
      </c>
      <c r="K5" s="16">
        <v>4</v>
      </c>
    </row>
    <row r="6" spans="1:11" x14ac:dyDescent="0.25">
      <c r="A6" s="16">
        <v>5</v>
      </c>
      <c r="B6" s="16" t="s">
        <v>42</v>
      </c>
      <c r="C6" s="16">
        <f t="shared" si="0"/>
        <v>2</v>
      </c>
      <c r="D6" s="16">
        <f t="shared" si="1"/>
        <v>4</v>
      </c>
      <c r="E6" s="16">
        <f>VLOOKUP(C6,Handicaps!$A:$B,2,FALSE)</f>
        <v>4</v>
      </c>
      <c r="F6" s="16">
        <f>VLOOKUP(D6,Handicaps!$A:$B,2,FALSE)</f>
        <v>12</v>
      </c>
      <c r="G6" s="16">
        <f t="shared" si="2"/>
        <v>0</v>
      </c>
      <c r="H6" s="16">
        <f t="shared" si="3"/>
        <v>9</v>
      </c>
      <c r="I6" s="16">
        <f t="shared" si="4"/>
        <v>13</v>
      </c>
      <c r="J6" s="16">
        <f t="shared" si="5"/>
        <v>17</v>
      </c>
      <c r="K6" s="16">
        <v>5</v>
      </c>
    </row>
    <row r="7" spans="1:11" x14ac:dyDescent="0.25">
      <c r="A7" s="16">
        <v>6</v>
      </c>
      <c r="B7" s="16" t="s">
        <v>38</v>
      </c>
      <c r="C7" s="16">
        <f t="shared" si="0"/>
        <v>1</v>
      </c>
      <c r="D7" s="16">
        <f t="shared" si="1"/>
        <v>3</v>
      </c>
      <c r="E7" s="16">
        <f>VLOOKUP(C7,Handicaps!$A:$B,2,FALSE)</f>
        <v>-15</v>
      </c>
      <c r="F7" s="16">
        <f>VLOOKUP(D7,Handicaps!$A:$B,2,FALSE)</f>
        <v>8</v>
      </c>
      <c r="G7" s="16">
        <f t="shared" si="2"/>
        <v>-15</v>
      </c>
      <c r="H7" s="16">
        <f t="shared" si="3"/>
        <v>8</v>
      </c>
      <c r="I7" s="16">
        <f t="shared" si="4"/>
        <v>3</v>
      </c>
      <c r="J7" s="16">
        <f t="shared" si="5"/>
        <v>15</v>
      </c>
      <c r="K7" s="16">
        <v>6</v>
      </c>
    </row>
  </sheetData>
  <sheetProtection sheet="1" objects="1" scenarios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27"/>
  <sheetViews>
    <sheetView workbookViewId="0"/>
  </sheetViews>
  <sheetFormatPr defaultRowHeight="15" x14ac:dyDescent="0.25"/>
  <cols>
    <col min="1" max="2" width="9.140625" style="25"/>
    <col min="3" max="3" width="9.7109375" style="25" customWidth="1"/>
    <col min="4" max="5" width="34.7109375" style="23" customWidth="1"/>
    <col min="6" max="7" width="14.7109375" style="25" customWidth="1"/>
    <col min="8" max="8" width="14.7109375" style="25" hidden="1" customWidth="1"/>
    <col min="9" max="10" width="14.7109375" style="25" customWidth="1"/>
    <col min="11" max="11" width="14.7109375" style="25" hidden="1" customWidth="1"/>
    <col min="12" max="13" width="14.7109375" style="25" customWidth="1"/>
    <col min="14" max="16384" width="9.140625" style="23"/>
  </cols>
  <sheetData>
    <row r="1" spans="1:14" s="26" customFormat="1" ht="30" customHeight="1" x14ac:dyDescent="0.35">
      <c r="A1" s="39" t="s">
        <v>133</v>
      </c>
      <c r="B1"/>
      <c r="C1" s="16"/>
      <c r="D1"/>
      <c r="E1"/>
      <c r="F1"/>
      <c r="G1"/>
      <c r="H1"/>
    </row>
    <row r="2" spans="1:14" s="26" customFormat="1" ht="23.25" x14ac:dyDescent="0.35">
      <c r="A2" s="39" t="s">
        <v>57</v>
      </c>
      <c r="B2"/>
      <c r="C2"/>
      <c r="D2"/>
      <c r="E2"/>
    </row>
    <row r="3" spans="1:14" s="38" customFormat="1" x14ac:dyDescent="0.25">
      <c r="A3" s="37" t="s">
        <v>58</v>
      </c>
      <c r="B3" s="37" t="s">
        <v>59</v>
      </c>
      <c r="C3" s="37" t="s">
        <v>60</v>
      </c>
      <c r="D3" s="36" t="s">
        <v>61</v>
      </c>
      <c r="E3" s="36" t="s">
        <v>62</v>
      </c>
      <c r="F3" s="37" t="s">
        <v>67</v>
      </c>
      <c r="G3" s="37" t="s">
        <v>68</v>
      </c>
      <c r="H3" s="37" t="s">
        <v>95</v>
      </c>
      <c r="I3" s="37" t="s">
        <v>69</v>
      </c>
      <c r="J3" s="37" t="s">
        <v>68</v>
      </c>
      <c r="K3" s="37" t="s">
        <v>96</v>
      </c>
      <c r="L3" s="37" t="s">
        <v>70</v>
      </c>
      <c r="M3" s="37" t="s">
        <v>71</v>
      </c>
      <c r="N3" s="37" t="s">
        <v>58</v>
      </c>
    </row>
    <row r="4" spans="1:14" x14ac:dyDescent="0.25">
      <c r="A4" s="24" t="s">
        <v>9</v>
      </c>
      <c r="B4" s="24" t="str">
        <f>VLOOKUP((RIGHT(A4)*1),Matches!A:B,2,FALSE)</f>
        <v>1 v 2</v>
      </c>
      <c r="C4" s="24" t="str">
        <f t="shared" ref="C4:C15" si="0">LEFT($A4)&amp;B4</f>
        <v>M1 v 2</v>
      </c>
      <c r="D4" s="40" t="str">
        <f>VLOOKUP(LEFT($B4)&amp;LEFT($A4),Players!$C:$H,6,FALSE)</f>
        <v>Jake White &amp; Dave Edgar</v>
      </c>
      <c r="E4" s="40" t="str">
        <f>VLOOKUP(RIGHT($B4)&amp;LEFT($A4),Players!$C:$H,6,FALSE)</f>
        <v>Michael Featherstone &amp; Ryan Tai</v>
      </c>
      <c r="F4" s="24">
        <f>'Mens Scorecards'!E$22</f>
        <v>5</v>
      </c>
      <c r="G4" s="24">
        <f>'Mens Scorecards'!F$22</f>
        <v>21</v>
      </c>
      <c r="H4" s="24">
        <f>ABS(F4-G4)</f>
        <v>16</v>
      </c>
      <c r="I4" s="24">
        <f>'Mens Scorecards'!E$23</f>
        <v>18</v>
      </c>
      <c r="J4" s="24">
        <f>'Mens Scorecards'!F$23</f>
        <v>21</v>
      </c>
      <c r="K4" s="24">
        <f>ABS(I4-J4)</f>
        <v>3</v>
      </c>
      <c r="L4" s="24">
        <f>IF(OR(F4=0,I4=0),"",SUM(IF(MOD(F4,21),0,1),IF(MOD(I4,21),0,1)))</f>
        <v>0</v>
      </c>
      <c r="M4" s="24">
        <f>IF(OR(G4=0,J4=0),"",SUM(IF(MOD(G4,21),0,1),IF(MOD(J4,21),0,1)))</f>
        <v>2</v>
      </c>
      <c r="N4" s="24" t="str">
        <f>A4</f>
        <v>M1</v>
      </c>
    </row>
    <row r="5" spans="1:14" x14ac:dyDescent="0.25">
      <c r="A5" s="24" t="s">
        <v>11</v>
      </c>
      <c r="B5" s="24" t="str">
        <f>VLOOKUP((RIGHT(A5)*1),Matches!A:B,2,FALSE)</f>
        <v>3 v 4</v>
      </c>
      <c r="C5" s="24" t="str">
        <f t="shared" si="0"/>
        <v>M3 v 4</v>
      </c>
      <c r="D5" s="40" t="str">
        <f>VLOOKUP(LEFT($B5)&amp;LEFT($A5),Players!$C:$H,6,FALSE)</f>
        <v>Jetmond Ma &amp; Yu Hin Wong</v>
      </c>
      <c r="E5" s="40" t="str">
        <f>VLOOKUP(RIGHT($B5)&amp;LEFT($A5),Players!$C:$H,6,FALSE)</f>
        <v>Ji Qiao &amp; Henry Noorveriandi</v>
      </c>
      <c r="F5" s="24">
        <f>'Mens Scorecards'!E$51</f>
        <v>21</v>
      </c>
      <c r="G5" s="24">
        <f>'Mens Scorecards'!F$51</f>
        <v>19</v>
      </c>
      <c r="H5" s="24">
        <f t="shared" ref="H5:H27" si="1">ABS(F5-G5)</f>
        <v>2</v>
      </c>
      <c r="I5" s="24">
        <f>'Mens Scorecards'!E$52</f>
        <v>16</v>
      </c>
      <c r="J5" s="24">
        <f>'Mens Scorecards'!F$52</f>
        <v>21</v>
      </c>
      <c r="K5" s="24">
        <f t="shared" ref="K5:K27" si="2">ABS(I5-J5)</f>
        <v>5</v>
      </c>
      <c r="L5" s="24">
        <f t="shared" ref="L5:L27" si="3">IF(OR(F5=0,I5=0),"",SUM(IF(MOD(F5,21),0,1),IF(MOD(I5,21),0,1)))</f>
        <v>1</v>
      </c>
      <c r="M5" s="24">
        <f t="shared" ref="M5:M27" si="4">IF(OR(G5=0,J5=0),"",SUM(IF(MOD(G5,21),0,1),IF(MOD(J5,21),0,1)))</f>
        <v>1</v>
      </c>
      <c r="N5" s="24" t="str">
        <f t="shared" ref="N5:N27" si="5">A5</f>
        <v>M2</v>
      </c>
    </row>
    <row r="6" spans="1:14" x14ac:dyDescent="0.25">
      <c r="A6" s="24" t="s">
        <v>12</v>
      </c>
      <c r="B6" s="24" t="str">
        <f>VLOOKUP((RIGHT(A6)*1),Matches!A:B,2,FALSE)</f>
        <v>2 v 3</v>
      </c>
      <c r="C6" s="24" t="str">
        <f t="shared" si="0"/>
        <v>M2 v 3</v>
      </c>
      <c r="D6" s="40" t="str">
        <f>VLOOKUP(LEFT($B6)&amp;LEFT($A6),Players!$C:$H,6,FALSE)</f>
        <v>Michael Featherstone &amp; Ryan Tai</v>
      </c>
      <c r="E6" s="40" t="str">
        <f>VLOOKUP(RIGHT($B6)&amp;LEFT($A6),Players!$C:$H,6,FALSE)</f>
        <v>Jetmond Ma &amp; Yu Hin Wong</v>
      </c>
      <c r="F6" s="24">
        <f>'Mens Scorecards'!E$80</f>
        <v>21</v>
      </c>
      <c r="G6" s="24">
        <f>'Mens Scorecards'!F$80</f>
        <v>17</v>
      </c>
      <c r="H6" s="24">
        <f t="shared" si="1"/>
        <v>4</v>
      </c>
      <c r="I6" s="24">
        <f>'Mens Scorecards'!E$81</f>
        <v>21</v>
      </c>
      <c r="J6" s="24">
        <f>'Mens Scorecards'!F$81</f>
        <v>17</v>
      </c>
      <c r="K6" s="24">
        <f t="shared" si="2"/>
        <v>4</v>
      </c>
      <c r="L6" s="24">
        <f t="shared" si="3"/>
        <v>2</v>
      </c>
      <c r="M6" s="24">
        <f t="shared" si="4"/>
        <v>0</v>
      </c>
      <c r="N6" s="24" t="str">
        <f t="shared" si="5"/>
        <v>M3</v>
      </c>
    </row>
    <row r="7" spans="1:14" x14ac:dyDescent="0.25">
      <c r="A7" s="24" t="s">
        <v>14</v>
      </c>
      <c r="B7" s="24" t="str">
        <f>VLOOKUP((RIGHT(A7)*1),Matches!A:B,2,FALSE)</f>
        <v>1 v 4</v>
      </c>
      <c r="C7" s="24" t="str">
        <f t="shared" si="0"/>
        <v>M1 v 4</v>
      </c>
      <c r="D7" s="40" t="str">
        <f>VLOOKUP(LEFT($B7)&amp;LEFT($A7),Players!$C:$H,6,FALSE)</f>
        <v>Jake White &amp; Dave Edgar</v>
      </c>
      <c r="E7" s="40" t="str">
        <f>VLOOKUP(RIGHT($B7)&amp;LEFT($A7),Players!$C:$H,6,FALSE)</f>
        <v>Ji Qiao &amp; Henry Noorveriandi</v>
      </c>
      <c r="F7" s="24">
        <f>'Mens Scorecards'!E$109</f>
        <v>9</v>
      </c>
      <c r="G7" s="24">
        <f>'Mens Scorecards'!F$109</f>
        <v>21</v>
      </c>
      <c r="H7" s="24">
        <f t="shared" si="1"/>
        <v>12</v>
      </c>
      <c r="I7" s="24">
        <f>'Mens Scorecards'!E$110</f>
        <v>9</v>
      </c>
      <c r="J7" s="24">
        <f>'Mens Scorecards'!F$110</f>
        <v>21</v>
      </c>
      <c r="K7" s="24">
        <f t="shared" si="2"/>
        <v>12</v>
      </c>
      <c r="L7" s="24">
        <f t="shared" si="3"/>
        <v>0</v>
      </c>
      <c r="M7" s="24">
        <f t="shared" si="4"/>
        <v>2</v>
      </c>
      <c r="N7" s="24" t="str">
        <f t="shared" si="5"/>
        <v>M4</v>
      </c>
    </row>
    <row r="8" spans="1:14" x14ac:dyDescent="0.25">
      <c r="A8" s="24" t="s">
        <v>15</v>
      </c>
      <c r="B8" s="24" t="str">
        <f>VLOOKUP((RIGHT(A8)*1),Matches!A:B,2,FALSE)</f>
        <v>2 v 4</v>
      </c>
      <c r="C8" s="24" t="str">
        <f t="shared" si="0"/>
        <v>M2 v 4</v>
      </c>
      <c r="D8" s="40" t="str">
        <f>VLOOKUP(LEFT($B8)&amp;LEFT($A8),Players!$C:$H,6,FALSE)</f>
        <v>Michael Featherstone &amp; Ryan Tai</v>
      </c>
      <c r="E8" s="40" t="str">
        <f>VLOOKUP(RIGHT($B8)&amp;LEFT($A8),Players!$C:$H,6,FALSE)</f>
        <v>Ji Qiao &amp; Henry Noorveriandi</v>
      </c>
      <c r="F8" s="24">
        <f>'Mens Scorecards'!E$138</f>
        <v>21</v>
      </c>
      <c r="G8" s="24">
        <f>'Mens Scorecards'!F$138</f>
        <v>16</v>
      </c>
      <c r="H8" s="24">
        <f t="shared" si="1"/>
        <v>5</v>
      </c>
      <c r="I8" s="24">
        <f>'Mens Scorecards'!E$139</f>
        <v>21</v>
      </c>
      <c r="J8" s="24">
        <f>'Mens Scorecards'!F$139</f>
        <v>18</v>
      </c>
      <c r="K8" s="24">
        <f t="shared" si="2"/>
        <v>3</v>
      </c>
      <c r="L8" s="24">
        <f t="shared" si="3"/>
        <v>2</v>
      </c>
      <c r="M8" s="24">
        <f t="shared" si="4"/>
        <v>0</v>
      </c>
      <c r="N8" s="24" t="str">
        <f t="shared" si="5"/>
        <v>M5</v>
      </c>
    </row>
    <row r="9" spans="1:14" x14ac:dyDescent="0.25">
      <c r="A9" s="24" t="s">
        <v>18</v>
      </c>
      <c r="B9" s="24" t="str">
        <f>VLOOKUP((RIGHT(A9)*1),Matches!A:B,2,FALSE)</f>
        <v>1 v 3</v>
      </c>
      <c r="C9" s="24" t="str">
        <f t="shared" si="0"/>
        <v>M1 v 3</v>
      </c>
      <c r="D9" s="40" t="str">
        <f>VLOOKUP(LEFT($B9)&amp;LEFT($A9),Players!$C:$H,6,FALSE)</f>
        <v>Jake White &amp; Dave Edgar</v>
      </c>
      <c r="E9" s="40" t="str">
        <f>VLOOKUP(RIGHT($B9)&amp;LEFT($A9),Players!$C:$H,6,FALSE)</f>
        <v>Jetmond Ma &amp; Yu Hin Wong</v>
      </c>
      <c r="F9" s="24">
        <f>'Mens Scorecards'!E$167</f>
        <v>10</v>
      </c>
      <c r="G9" s="24">
        <f>'Mens Scorecards'!F$167</f>
        <v>21</v>
      </c>
      <c r="H9" s="24">
        <f t="shared" si="1"/>
        <v>11</v>
      </c>
      <c r="I9" s="24">
        <f>'Mens Scorecards'!E$168</f>
        <v>21</v>
      </c>
      <c r="J9" s="24">
        <f>'Mens Scorecards'!F$168</f>
        <v>20</v>
      </c>
      <c r="K9" s="24">
        <f t="shared" si="2"/>
        <v>1</v>
      </c>
      <c r="L9" s="24">
        <f t="shared" si="3"/>
        <v>1</v>
      </c>
      <c r="M9" s="24">
        <f t="shared" si="4"/>
        <v>1</v>
      </c>
      <c r="N9" s="24" t="str">
        <f t="shared" si="5"/>
        <v>M6</v>
      </c>
    </row>
    <row r="10" spans="1:14" x14ac:dyDescent="0.25">
      <c r="A10" s="24" t="s">
        <v>10</v>
      </c>
      <c r="B10" s="24" t="str">
        <f>VLOOKUP((RIGHT(A10)*1),Matches!A:B,2,FALSE)</f>
        <v>1 v 2</v>
      </c>
      <c r="C10" s="24" t="str">
        <f t="shared" si="0"/>
        <v>L1 v 2</v>
      </c>
      <c r="D10" s="40" t="str">
        <f>VLOOKUP(LEFT($B10)&amp;LEFT($A10),Players!$C:$H,6,FALSE)</f>
        <v>Catriona Golds &amp; Rachel Flood</v>
      </c>
      <c r="E10" s="40" t="str">
        <f>VLOOKUP(RIGHT($B10)&amp;LEFT($A10),Players!$C:$H,6,FALSE)</f>
        <v>Araadhna Singh &amp; Hannah Burke</v>
      </c>
      <c r="F10" s="24">
        <f>'Ladies Scorecards'!E$22</f>
        <v>21</v>
      </c>
      <c r="G10" s="24">
        <f>'Ladies Scorecards'!F$22</f>
        <v>15</v>
      </c>
      <c r="H10" s="24">
        <f t="shared" si="1"/>
        <v>6</v>
      </c>
      <c r="I10" s="24">
        <f>'Ladies Scorecards'!E$23</f>
        <v>21</v>
      </c>
      <c r="J10" s="24">
        <f>'Ladies Scorecards'!F$23</f>
        <v>15</v>
      </c>
      <c r="K10" s="24">
        <f t="shared" si="2"/>
        <v>6</v>
      </c>
      <c r="L10" s="24">
        <f t="shared" si="3"/>
        <v>2</v>
      </c>
      <c r="M10" s="24">
        <f t="shared" si="4"/>
        <v>0</v>
      </c>
      <c r="N10" s="24" t="str">
        <f t="shared" si="5"/>
        <v>L1</v>
      </c>
    </row>
    <row r="11" spans="1:14" x14ac:dyDescent="0.25">
      <c r="A11" s="24" t="s">
        <v>13</v>
      </c>
      <c r="B11" s="24" t="str">
        <f>VLOOKUP((RIGHT(A11)*1),Matches!A:B,2,FALSE)</f>
        <v>3 v 4</v>
      </c>
      <c r="C11" s="24" t="str">
        <f t="shared" si="0"/>
        <v>L3 v 4</v>
      </c>
      <c r="D11" s="40" t="str">
        <f>VLOOKUP(LEFT($B11)&amp;LEFT($A11),Players!$C:$H,6,FALSE)</f>
        <v>Hema Mistry &amp; Katie Donegan</v>
      </c>
      <c r="E11" s="40" t="str">
        <f>VLOOKUP(RIGHT($B11)&amp;LEFT($A11),Players!$C:$H,6,FALSE)</f>
        <v>Anne Tang &amp; Stephanie Wyatt</v>
      </c>
      <c r="F11" s="24">
        <f>'Ladies Scorecards'!E$51</f>
        <v>21</v>
      </c>
      <c r="G11" s="24">
        <f>'Ladies Scorecards'!F$51</f>
        <v>18</v>
      </c>
      <c r="H11" s="24">
        <f t="shared" si="1"/>
        <v>3</v>
      </c>
      <c r="I11" s="24">
        <f>'Ladies Scorecards'!E$52</f>
        <v>18</v>
      </c>
      <c r="J11" s="24">
        <f>'Ladies Scorecards'!F$52</f>
        <v>21</v>
      </c>
      <c r="K11" s="24">
        <f t="shared" si="2"/>
        <v>3</v>
      </c>
      <c r="L11" s="24">
        <f t="shared" si="3"/>
        <v>1</v>
      </c>
      <c r="M11" s="24">
        <f t="shared" si="4"/>
        <v>1</v>
      </c>
      <c r="N11" s="24" t="str">
        <f t="shared" si="5"/>
        <v>L2</v>
      </c>
    </row>
    <row r="12" spans="1:14" x14ac:dyDescent="0.25">
      <c r="A12" s="24" t="s">
        <v>16</v>
      </c>
      <c r="B12" s="24" t="str">
        <f>VLOOKUP((RIGHT(A12)*1),Matches!A:B,2,FALSE)</f>
        <v>2 v 3</v>
      </c>
      <c r="C12" s="24" t="str">
        <f t="shared" si="0"/>
        <v>L2 v 3</v>
      </c>
      <c r="D12" s="40" t="str">
        <f>VLOOKUP(LEFT($B12)&amp;LEFT($A12),Players!$C:$H,6,FALSE)</f>
        <v>Araadhna Singh &amp; Hannah Burke</v>
      </c>
      <c r="E12" s="40" t="str">
        <f>VLOOKUP(RIGHT($B12)&amp;LEFT($A12),Players!$C:$H,6,FALSE)</f>
        <v>Hema Mistry &amp; Katie Donegan</v>
      </c>
      <c r="F12" s="24">
        <f>'Ladies Scorecards'!E$80</f>
        <v>16</v>
      </c>
      <c r="G12" s="24">
        <f>'Ladies Scorecards'!F$80</f>
        <v>21</v>
      </c>
      <c r="H12" s="24">
        <f t="shared" si="1"/>
        <v>5</v>
      </c>
      <c r="I12" s="24">
        <f>'Ladies Scorecards'!E$81</f>
        <v>9</v>
      </c>
      <c r="J12" s="24">
        <f>'Ladies Scorecards'!F$81</f>
        <v>21</v>
      </c>
      <c r="K12" s="24">
        <f t="shared" si="2"/>
        <v>12</v>
      </c>
      <c r="L12" s="24">
        <f t="shared" si="3"/>
        <v>0</v>
      </c>
      <c r="M12" s="24">
        <f t="shared" si="4"/>
        <v>2</v>
      </c>
      <c r="N12" s="24" t="str">
        <f t="shared" si="5"/>
        <v>L3</v>
      </c>
    </row>
    <row r="13" spans="1:14" x14ac:dyDescent="0.25">
      <c r="A13" s="24" t="s">
        <v>17</v>
      </c>
      <c r="B13" s="24" t="str">
        <f>VLOOKUP((RIGHT(A13)*1),Matches!A:B,2,FALSE)</f>
        <v>1 v 4</v>
      </c>
      <c r="C13" s="24" t="str">
        <f t="shared" si="0"/>
        <v>L1 v 4</v>
      </c>
      <c r="D13" s="40" t="str">
        <f>VLOOKUP(LEFT($B13)&amp;LEFT($A13),Players!$C:$H,6,FALSE)</f>
        <v>Catriona Golds &amp; Rachel Flood</v>
      </c>
      <c r="E13" s="40" t="str">
        <f>VLOOKUP(RIGHT($B13)&amp;LEFT($A13),Players!$C:$H,6,FALSE)</f>
        <v>Anne Tang &amp; Stephanie Wyatt</v>
      </c>
      <c r="F13" s="24">
        <f>'Ladies Scorecards'!E$109</f>
        <v>9</v>
      </c>
      <c r="G13" s="24">
        <f>'Ladies Scorecards'!F$109</f>
        <v>21</v>
      </c>
      <c r="H13" s="24">
        <f t="shared" si="1"/>
        <v>12</v>
      </c>
      <c r="I13" s="24">
        <f>'Ladies Scorecards'!E$110</f>
        <v>21</v>
      </c>
      <c r="J13" s="24">
        <f>'Ladies Scorecards'!F$110</f>
        <v>18</v>
      </c>
      <c r="K13" s="24">
        <f t="shared" si="2"/>
        <v>3</v>
      </c>
      <c r="L13" s="24">
        <f t="shared" si="3"/>
        <v>1</v>
      </c>
      <c r="M13" s="24">
        <f t="shared" si="4"/>
        <v>1</v>
      </c>
      <c r="N13" s="24" t="str">
        <f t="shared" si="5"/>
        <v>L4</v>
      </c>
    </row>
    <row r="14" spans="1:14" x14ac:dyDescent="0.25">
      <c r="A14" s="24" t="s">
        <v>19</v>
      </c>
      <c r="B14" s="24" t="str">
        <f>VLOOKUP((RIGHT(A14)*1),Matches!A:B,2,FALSE)</f>
        <v>2 v 4</v>
      </c>
      <c r="C14" s="24" t="str">
        <f t="shared" si="0"/>
        <v>L2 v 4</v>
      </c>
      <c r="D14" s="40" t="str">
        <f>VLOOKUP(LEFT($B14)&amp;LEFT($A14),Players!$C:$H,6,FALSE)</f>
        <v>Araadhna Singh &amp; Hannah Burke</v>
      </c>
      <c r="E14" s="40" t="str">
        <f>VLOOKUP(RIGHT($B14)&amp;LEFT($A14),Players!$C:$H,6,FALSE)</f>
        <v>Anne Tang &amp; Stephanie Wyatt</v>
      </c>
      <c r="F14" s="24">
        <f>'Ladies Scorecards'!E$138</f>
        <v>21</v>
      </c>
      <c r="G14" s="24">
        <f>'Ladies Scorecards'!F$138</f>
        <v>20</v>
      </c>
      <c r="H14" s="24">
        <f t="shared" si="1"/>
        <v>1</v>
      </c>
      <c r="I14" s="24">
        <f>'Ladies Scorecards'!E$139</f>
        <v>20</v>
      </c>
      <c r="J14" s="24">
        <f>'Ladies Scorecards'!F$139</f>
        <v>21</v>
      </c>
      <c r="K14" s="24">
        <f t="shared" si="2"/>
        <v>1</v>
      </c>
      <c r="L14" s="24">
        <f t="shared" si="3"/>
        <v>1</v>
      </c>
      <c r="M14" s="24">
        <f t="shared" si="4"/>
        <v>1</v>
      </c>
      <c r="N14" s="24" t="str">
        <f t="shared" si="5"/>
        <v>L5</v>
      </c>
    </row>
    <row r="15" spans="1:14" x14ac:dyDescent="0.25">
      <c r="A15" s="24" t="s">
        <v>20</v>
      </c>
      <c r="B15" s="24" t="str">
        <f>VLOOKUP((RIGHT(A15)*1),Matches!A:B,2,FALSE)</f>
        <v>1 v 3</v>
      </c>
      <c r="C15" s="24" t="str">
        <f t="shared" si="0"/>
        <v>L1 v 3</v>
      </c>
      <c r="D15" s="40" t="str">
        <f>VLOOKUP(LEFT($B15)&amp;LEFT($A15),Players!$C:$H,6,FALSE)</f>
        <v>Catriona Golds &amp; Rachel Flood</v>
      </c>
      <c r="E15" s="40" t="str">
        <f>VLOOKUP(RIGHT($B15)&amp;LEFT($A15),Players!$C:$H,6,FALSE)</f>
        <v>Hema Mistry &amp; Katie Donegan</v>
      </c>
      <c r="F15" s="24">
        <f>'Ladies Scorecards'!E$167</f>
        <v>21</v>
      </c>
      <c r="G15" s="24">
        <f>'Ladies Scorecards'!F$167</f>
        <v>19</v>
      </c>
      <c r="H15" s="24">
        <f t="shared" si="1"/>
        <v>2</v>
      </c>
      <c r="I15" s="24">
        <f>'Ladies Scorecards'!E$168</f>
        <v>21</v>
      </c>
      <c r="J15" s="24">
        <f>'Ladies Scorecards'!F$168</f>
        <v>19</v>
      </c>
      <c r="K15" s="24">
        <f t="shared" si="2"/>
        <v>2</v>
      </c>
      <c r="L15" s="24">
        <f t="shared" si="3"/>
        <v>2</v>
      </c>
      <c r="M15" s="24">
        <f t="shared" si="4"/>
        <v>0</v>
      </c>
      <c r="N15" s="24" t="str">
        <f t="shared" si="5"/>
        <v>L6</v>
      </c>
    </row>
    <row r="16" spans="1:14" x14ac:dyDescent="0.25">
      <c r="A16" s="24" t="s">
        <v>102</v>
      </c>
      <c r="B16" s="24" t="str">
        <f>VLOOKUP((RIGHT(A16)*1),Matches!A:B,2,FALSE)</f>
        <v>1 v 2</v>
      </c>
      <c r="C16" s="24" t="str">
        <f>LEFT($A16,2)&amp;"A"&amp;B16</f>
        <v>MxA1 v 2</v>
      </c>
      <c r="D16" s="40" t="str">
        <f>VLOOKUP(LEFT($B16)&amp;LEFT($A16,2)&amp;"A",Players!$C:$H,6,FALSE)</f>
        <v>James Kee &amp; Julie Leeming</v>
      </c>
      <c r="E16" s="40" t="str">
        <f>VLOOKUP(RIGHT($B16)&amp;LEFT($A16,2)&amp;"A",Players!$C:$H,6,FALSE)</f>
        <v>Duncan Hurlstone &amp; Emily Stapley</v>
      </c>
      <c r="F16" s="24">
        <f>'Mixed Scorecards'!E$22</f>
        <v>21</v>
      </c>
      <c r="G16" s="24">
        <f>'Mixed Scorecards'!F$22</f>
        <v>16</v>
      </c>
      <c r="H16" s="24">
        <f t="shared" si="1"/>
        <v>5</v>
      </c>
      <c r="I16" s="24">
        <f>'Mixed Scorecards'!E$23</f>
        <v>21</v>
      </c>
      <c r="J16" s="24">
        <f>'Mixed Scorecards'!F$23</f>
        <v>19</v>
      </c>
      <c r="K16" s="24">
        <f t="shared" si="2"/>
        <v>2</v>
      </c>
      <c r="L16" s="24">
        <f t="shared" si="3"/>
        <v>2</v>
      </c>
      <c r="M16" s="24">
        <f t="shared" si="4"/>
        <v>0</v>
      </c>
      <c r="N16" s="24" t="str">
        <f t="shared" si="5"/>
        <v>MxA1</v>
      </c>
    </row>
    <row r="17" spans="1:14" x14ac:dyDescent="0.25">
      <c r="A17" s="24" t="s">
        <v>103</v>
      </c>
      <c r="B17" s="24" t="str">
        <f>VLOOKUP((RIGHT(A17)*1),Matches!A:B,2,FALSE)</f>
        <v>3 v 4</v>
      </c>
      <c r="C17" s="24" t="str">
        <f t="shared" ref="C17:C21" si="6">LEFT($A17,2)&amp;"A"&amp;B17</f>
        <v>MxA3 v 4</v>
      </c>
      <c r="D17" s="40" t="str">
        <f>VLOOKUP(LEFT($B17)&amp;LEFT($A17,2)&amp;"A",Players!$C:$H,6,FALSE)</f>
        <v>Pasha Riley &amp; Avril Sloane</v>
      </c>
      <c r="E17" s="40" t="str">
        <f>VLOOKUP(RIGHT($B17)&amp;LEFT($A17,2)&amp;"A",Players!$C:$H,6,FALSE)</f>
        <v>Rob Kirkpatrick &amp; Sally Dowgill</v>
      </c>
      <c r="F17" s="24">
        <f>'Mixed Scorecards'!E$51</f>
        <v>15</v>
      </c>
      <c r="G17" s="24">
        <f>'Mixed Scorecards'!F$51</f>
        <v>21</v>
      </c>
      <c r="H17" s="24">
        <f t="shared" si="1"/>
        <v>6</v>
      </c>
      <c r="I17" s="24">
        <f>'Mixed Scorecards'!E$52</f>
        <v>13</v>
      </c>
      <c r="J17" s="24">
        <f>'Mixed Scorecards'!F$52</f>
        <v>21</v>
      </c>
      <c r="K17" s="24">
        <f t="shared" si="2"/>
        <v>8</v>
      </c>
      <c r="L17" s="24">
        <f t="shared" si="3"/>
        <v>0</v>
      </c>
      <c r="M17" s="24">
        <f t="shared" si="4"/>
        <v>2</v>
      </c>
      <c r="N17" s="24" t="str">
        <f t="shared" si="5"/>
        <v>MxA2</v>
      </c>
    </row>
    <row r="18" spans="1:14" x14ac:dyDescent="0.25">
      <c r="A18" s="24" t="s">
        <v>104</v>
      </c>
      <c r="B18" s="24" t="str">
        <f>VLOOKUP((RIGHT(A18)*1),Matches!A:B,2,FALSE)</f>
        <v>2 v 3</v>
      </c>
      <c r="C18" s="24" t="str">
        <f t="shared" si="6"/>
        <v>MxA2 v 3</v>
      </c>
      <c r="D18" s="40" t="str">
        <f>VLOOKUP(LEFT($B18)&amp;LEFT($A18,2)&amp;"A",Players!$C:$H,6,FALSE)</f>
        <v>Duncan Hurlstone &amp; Emily Stapley</v>
      </c>
      <c r="E18" s="40" t="str">
        <f>VLOOKUP(RIGHT($B18)&amp;LEFT($A18,2)&amp;"A",Players!$C:$H,6,FALSE)</f>
        <v>Pasha Riley &amp; Avril Sloane</v>
      </c>
      <c r="F18" s="24">
        <f>'Mixed Scorecards'!E$80</f>
        <v>20</v>
      </c>
      <c r="G18" s="24">
        <f>'Mixed Scorecards'!F$80</f>
        <v>21</v>
      </c>
      <c r="H18" s="24">
        <f t="shared" si="1"/>
        <v>1</v>
      </c>
      <c r="I18" s="24">
        <f>'Mixed Scorecards'!E$81</f>
        <v>21</v>
      </c>
      <c r="J18" s="24">
        <f>'Mixed Scorecards'!F$81</f>
        <v>17</v>
      </c>
      <c r="K18" s="24">
        <f t="shared" si="2"/>
        <v>4</v>
      </c>
      <c r="L18" s="24">
        <f t="shared" si="3"/>
        <v>1</v>
      </c>
      <c r="M18" s="24">
        <f t="shared" si="4"/>
        <v>1</v>
      </c>
      <c r="N18" s="24" t="str">
        <f t="shared" si="5"/>
        <v>MxA3</v>
      </c>
    </row>
    <row r="19" spans="1:14" x14ac:dyDescent="0.25">
      <c r="A19" s="24" t="s">
        <v>105</v>
      </c>
      <c r="B19" s="24" t="str">
        <f>VLOOKUP((RIGHT(A19)*1),Matches!A:B,2,FALSE)</f>
        <v>1 v 4</v>
      </c>
      <c r="C19" s="24" t="str">
        <f t="shared" si="6"/>
        <v>MxA1 v 4</v>
      </c>
      <c r="D19" s="40" t="str">
        <f>VLOOKUP(LEFT($B19)&amp;LEFT($A19,2)&amp;"A",Players!$C:$H,6,FALSE)</f>
        <v>James Kee &amp; Julie Leeming</v>
      </c>
      <c r="E19" s="40" t="str">
        <f>VLOOKUP(RIGHT($B19)&amp;LEFT($A19,2)&amp;"A",Players!$C:$H,6,FALSE)</f>
        <v>Rob Kirkpatrick &amp; Sally Dowgill</v>
      </c>
      <c r="F19" s="24">
        <f>'Mixed Scorecards'!E$109</f>
        <v>13</v>
      </c>
      <c r="G19" s="24">
        <f>'Mixed Scorecards'!F$109</f>
        <v>21</v>
      </c>
      <c r="H19" s="24">
        <f t="shared" si="1"/>
        <v>8</v>
      </c>
      <c r="I19" s="24">
        <f>'Mixed Scorecards'!E$110</f>
        <v>11</v>
      </c>
      <c r="J19" s="24">
        <f>'Mixed Scorecards'!F$110</f>
        <v>21</v>
      </c>
      <c r="K19" s="24">
        <f t="shared" si="2"/>
        <v>10</v>
      </c>
      <c r="L19" s="24">
        <f t="shared" si="3"/>
        <v>0</v>
      </c>
      <c r="M19" s="24">
        <f t="shared" si="4"/>
        <v>2</v>
      </c>
      <c r="N19" s="24" t="str">
        <f t="shared" si="5"/>
        <v>MxA4</v>
      </c>
    </row>
    <row r="20" spans="1:14" x14ac:dyDescent="0.25">
      <c r="A20" s="24" t="s">
        <v>106</v>
      </c>
      <c r="B20" s="24" t="str">
        <f>VLOOKUP((RIGHT(A20)*1),Matches!A:B,2,FALSE)</f>
        <v>2 v 4</v>
      </c>
      <c r="C20" s="24" t="str">
        <f t="shared" si="6"/>
        <v>MxA2 v 4</v>
      </c>
      <c r="D20" s="40" t="str">
        <f>VLOOKUP(LEFT($B20)&amp;LEFT($A20,2)&amp;"A",Players!$C:$H,6,FALSE)</f>
        <v>Duncan Hurlstone &amp; Emily Stapley</v>
      </c>
      <c r="E20" s="40" t="str">
        <f>VLOOKUP(RIGHT($B20)&amp;LEFT($A20,2)&amp;"A",Players!$C:$H,6,FALSE)</f>
        <v>Rob Kirkpatrick &amp; Sally Dowgill</v>
      </c>
      <c r="F20" s="24">
        <f>'Mixed Scorecards'!E$138</f>
        <v>21</v>
      </c>
      <c r="G20" s="24">
        <f>'Mixed Scorecards'!F$138</f>
        <v>19</v>
      </c>
      <c r="H20" s="24">
        <f t="shared" si="1"/>
        <v>2</v>
      </c>
      <c r="I20" s="24">
        <f>'Mixed Scorecards'!E$139</f>
        <v>15</v>
      </c>
      <c r="J20" s="24">
        <f>'Mixed Scorecards'!F$139</f>
        <v>21</v>
      </c>
      <c r="K20" s="24">
        <f t="shared" si="2"/>
        <v>6</v>
      </c>
      <c r="L20" s="24">
        <f t="shared" si="3"/>
        <v>1</v>
      </c>
      <c r="M20" s="24">
        <f t="shared" si="4"/>
        <v>1</v>
      </c>
      <c r="N20" s="24" t="str">
        <f t="shared" si="5"/>
        <v>MxA5</v>
      </c>
    </row>
    <row r="21" spans="1:14" x14ac:dyDescent="0.25">
      <c r="A21" s="24" t="s">
        <v>107</v>
      </c>
      <c r="B21" s="24" t="str">
        <f>VLOOKUP((RIGHT(A21)*1),Matches!A:B,2,FALSE)</f>
        <v>1 v 3</v>
      </c>
      <c r="C21" s="24" t="str">
        <f t="shared" si="6"/>
        <v>MxA1 v 3</v>
      </c>
      <c r="D21" s="40" t="str">
        <f>VLOOKUP(LEFT($B21)&amp;LEFT($A21,2)&amp;"A",Players!$C:$H,6,FALSE)</f>
        <v>James Kee &amp; Julie Leeming</v>
      </c>
      <c r="E21" s="40" t="str">
        <f>VLOOKUP(RIGHT($B21)&amp;LEFT($A21,2)&amp;"A",Players!$C:$H,6,FALSE)</f>
        <v>Pasha Riley &amp; Avril Sloane</v>
      </c>
      <c r="F21" s="24">
        <f>'Mixed Scorecards'!E$167</f>
        <v>13</v>
      </c>
      <c r="G21" s="24">
        <f>'Mixed Scorecards'!F$167</f>
        <v>21</v>
      </c>
      <c r="H21" s="24">
        <f t="shared" si="1"/>
        <v>8</v>
      </c>
      <c r="I21" s="24">
        <f>'Mixed Scorecards'!E$168</f>
        <v>13</v>
      </c>
      <c r="J21" s="24">
        <f>'Mixed Scorecards'!F$168</f>
        <v>21</v>
      </c>
      <c r="K21" s="24">
        <f t="shared" si="2"/>
        <v>8</v>
      </c>
      <c r="L21" s="24">
        <f t="shared" si="3"/>
        <v>0</v>
      </c>
      <c r="M21" s="24">
        <f t="shared" si="4"/>
        <v>2</v>
      </c>
      <c r="N21" s="24" t="str">
        <f t="shared" si="5"/>
        <v>MxA6</v>
      </c>
    </row>
    <row r="22" spans="1:14" x14ac:dyDescent="0.25">
      <c r="A22" s="24" t="s">
        <v>108</v>
      </c>
      <c r="B22" s="24" t="str">
        <f>VLOOKUP((RIGHT(A22)*1),Matches!A:B,2,FALSE)</f>
        <v>1 v 2</v>
      </c>
      <c r="C22" s="24" t="str">
        <f>LEFT($A22,2)&amp;"B"&amp;B22</f>
        <v>MxB1 v 2</v>
      </c>
      <c r="D22" s="40" t="str">
        <f>VLOOKUP(LEFT($B22)&amp;LEFT($A22,2)&amp;"B",Players!$C:$H,6,FALSE)</f>
        <v>Kerry Kirkwood &amp; Lisa Edgar</v>
      </c>
      <c r="E22" s="40" t="str">
        <f>VLOOKUP(RIGHT($B22)&amp;LEFT($A22,2)&amp;"B",Players!$C:$H,6,FALSE)</f>
        <v>Andy Foy &amp; Lesley Fryer</v>
      </c>
      <c r="F22" s="24">
        <f>'Mixed Scorecards'!E$196</f>
        <v>21</v>
      </c>
      <c r="G22" s="24">
        <f>'Mixed Scorecards'!F$196</f>
        <v>20</v>
      </c>
      <c r="H22" s="24">
        <f t="shared" si="1"/>
        <v>1</v>
      </c>
      <c r="I22" s="24">
        <f>'Mixed Scorecards'!E$197</f>
        <v>21</v>
      </c>
      <c r="J22" s="24">
        <f>'Mixed Scorecards'!F$197</f>
        <v>19</v>
      </c>
      <c r="K22" s="24">
        <f t="shared" si="2"/>
        <v>2</v>
      </c>
      <c r="L22" s="24">
        <f t="shared" si="3"/>
        <v>2</v>
      </c>
      <c r="M22" s="24">
        <f t="shared" si="4"/>
        <v>0</v>
      </c>
      <c r="N22" s="24" t="str">
        <f t="shared" si="5"/>
        <v>MxB1</v>
      </c>
    </row>
    <row r="23" spans="1:14" x14ac:dyDescent="0.25">
      <c r="A23" s="24" t="s">
        <v>109</v>
      </c>
      <c r="B23" s="24" t="str">
        <f>VLOOKUP((RIGHT(A23)*1),Matches!A:B,2,FALSE)</f>
        <v>3 v 4</v>
      </c>
      <c r="C23" s="24" t="str">
        <f t="shared" ref="C23:C27" si="7">LEFT($A23,2)&amp;"B"&amp;B23</f>
        <v>MxB3 v 4</v>
      </c>
      <c r="D23" s="40" t="str">
        <f>VLOOKUP(LEFT($B23)&amp;LEFT($A23,2)&amp;"B",Players!$C:$H,6,FALSE)</f>
        <v>Jahangir Hussain &amp; Helen Yates</v>
      </c>
      <c r="E23" s="40" t="str">
        <f>VLOOKUP(RIGHT($B23)&amp;LEFT($A23,2)&amp;"B",Players!$C:$H,6,FALSE)</f>
        <v>Roshan Jahangir &amp; Janine Lancashire</v>
      </c>
      <c r="F23" s="24">
        <f>'Mixed Scorecards'!E$225</f>
        <v>20</v>
      </c>
      <c r="G23" s="24">
        <f>'Mixed Scorecards'!F$225</f>
        <v>21</v>
      </c>
      <c r="H23" s="24">
        <f t="shared" si="1"/>
        <v>1</v>
      </c>
      <c r="I23" s="24">
        <f>'Mixed Scorecards'!E$226</f>
        <v>11</v>
      </c>
      <c r="J23" s="24">
        <f>'Mixed Scorecards'!F$226</f>
        <v>21</v>
      </c>
      <c r="K23" s="24">
        <f t="shared" si="2"/>
        <v>10</v>
      </c>
      <c r="L23" s="24">
        <f t="shared" si="3"/>
        <v>0</v>
      </c>
      <c r="M23" s="24">
        <f t="shared" si="4"/>
        <v>2</v>
      </c>
      <c r="N23" s="24" t="str">
        <f t="shared" si="5"/>
        <v>MxB2</v>
      </c>
    </row>
    <row r="24" spans="1:14" x14ac:dyDescent="0.25">
      <c r="A24" s="24" t="s">
        <v>110</v>
      </c>
      <c r="B24" s="24" t="str">
        <f>VLOOKUP((RIGHT(A24)*1),Matches!A:B,2,FALSE)</f>
        <v>2 v 3</v>
      </c>
      <c r="C24" s="24" t="str">
        <f t="shared" si="7"/>
        <v>MxB2 v 3</v>
      </c>
      <c r="D24" s="40" t="str">
        <f>VLOOKUP(LEFT($B24)&amp;LEFT($A24,2)&amp;"B",Players!$C:$H,6,FALSE)</f>
        <v>Andy Foy &amp; Lesley Fryer</v>
      </c>
      <c r="E24" s="40" t="str">
        <f>VLOOKUP(RIGHT($B24)&amp;LEFT($A24,2)&amp;"B",Players!$C:$H,6,FALSE)</f>
        <v>Jahangir Hussain &amp; Helen Yates</v>
      </c>
      <c r="F24" s="24">
        <f>'Mixed Scorecards'!E$254</f>
        <v>13</v>
      </c>
      <c r="G24" s="24">
        <f>'Mixed Scorecards'!F$254</f>
        <v>21</v>
      </c>
      <c r="H24" s="24">
        <f t="shared" si="1"/>
        <v>8</v>
      </c>
      <c r="I24" s="24">
        <f>'Mixed Scorecards'!E$255</f>
        <v>20</v>
      </c>
      <c r="J24" s="24">
        <f>'Mixed Scorecards'!F$255</f>
        <v>21</v>
      </c>
      <c r="K24" s="24">
        <f t="shared" si="2"/>
        <v>1</v>
      </c>
      <c r="L24" s="24">
        <f t="shared" si="3"/>
        <v>0</v>
      </c>
      <c r="M24" s="24">
        <f t="shared" si="4"/>
        <v>2</v>
      </c>
      <c r="N24" s="24" t="str">
        <f t="shared" si="5"/>
        <v>MxB3</v>
      </c>
    </row>
    <row r="25" spans="1:14" x14ac:dyDescent="0.25">
      <c r="A25" s="24" t="s">
        <v>111</v>
      </c>
      <c r="B25" s="24" t="str">
        <f>VLOOKUP((RIGHT(A25)*1),Matches!A:B,2,FALSE)</f>
        <v>1 v 4</v>
      </c>
      <c r="C25" s="24" t="str">
        <f t="shared" si="7"/>
        <v>MxB1 v 4</v>
      </c>
      <c r="D25" s="40" t="str">
        <f>VLOOKUP(LEFT($B25)&amp;LEFT($A25,2)&amp;"B",Players!$C:$H,6,FALSE)</f>
        <v>Kerry Kirkwood &amp; Lisa Edgar</v>
      </c>
      <c r="E25" s="40" t="str">
        <f>VLOOKUP(RIGHT($B25)&amp;LEFT($A25,2)&amp;"B",Players!$C:$H,6,FALSE)</f>
        <v>Roshan Jahangir &amp; Janine Lancashire</v>
      </c>
      <c r="F25" s="24">
        <f>'Mixed Scorecards'!E$283</f>
        <v>21</v>
      </c>
      <c r="G25" s="24">
        <f>'Mixed Scorecards'!F$283</f>
        <v>20</v>
      </c>
      <c r="H25" s="24">
        <f t="shared" si="1"/>
        <v>1</v>
      </c>
      <c r="I25" s="24">
        <f>'Mixed Scorecards'!E$284</f>
        <v>8</v>
      </c>
      <c r="J25" s="24">
        <f>'Mixed Scorecards'!F$284</f>
        <v>21</v>
      </c>
      <c r="K25" s="24">
        <f t="shared" si="2"/>
        <v>13</v>
      </c>
      <c r="L25" s="24">
        <f t="shared" si="3"/>
        <v>1</v>
      </c>
      <c r="M25" s="24">
        <f t="shared" si="4"/>
        <v>1</v>
      </c>
      <c r="N25" s="24" t="str">
        <f t="shared" si="5"/>
        <v>MxB4</v>
      </c>
    </row>
    <row r="26" spans="1:14" x14ac:dyDescent="0.25">
      <c r="A26" s="24" t="s">
        <v>112</v>
      </c>
      <c r="B26" s="24" t="str">
        <f>VLOOKUP((RIGHT(A26)*1),Matches!A:B,2,FALSE)</f>
        <v>2 v 4</v>
      </c>
      <c r="C26" s="24" t="str">
        <f t="shared" si="7"/>
        <v>MxB2 v 4</v>
      </c>
      <c r="D26" s="40" t="str">
        <f>VLOOKUP(LEFT($B26)&amp;LEFT($A26,2)&amp;"B",Players!$C:$H,6,FALSE)</f>
        <v>Andy Foy &amp; Lesley Fryer</v>
      </c>
      <c r="E26" s="40" t="str">
        <f>VLOOKUP(RIGHT($B26)&amp;LEFT($A26,2)&amp;"B",Players!$C:$H,6,FALSE)</f>
        <v>Roshan Jahangir &amp; Janine Lancashire</v>
      </c>
      <c r="F26" s="24">
        <f>'Mixed Scorecards'!E$312</f>
        <v>9</v>
      </c>
      <c r="G26" s="24">
        <f>'Mixed Scorecards'!F$312</f>
        <v>21</v>
      </c>
      <c r="H26" s="24">
        <f t="shared" si="1"/>
        <v>12</v>
      </c>
      <c r="I26" s="24">
        <f>'Mixed Scorecards'!E$313</f>
        <v>19</v>
      </c>
      <c r="J26" s="24">
        <f>'Mixed Scorecards'!F$313</f>
        <v>21</v>
      </c>
      <c r="K26" s="24">
        <f t="shared" si="2"/>
        <v>2</v>
      </c>
      <c r="L26" s="24">
        <f t="shared" si="3"/>
        <v>0</v>
      </c>
      <c r="M26" s="24">
        <f t="shared" si="4"/>
        <v>2</v>
      </c>
      <c r="N26" s="24" t="str">
        <f t="shared" si="5"/>
        <v>MxB5</v>
      </c>
    </row>
    <row r="27" spans="1:14" x14ac:dyDescent="0.25">
      <c r="A27" s="24" t="s">
        <v>113</v>
      </c>
      <c r="B27" s="24" t="str">
        <f>VLOOKUP((RIGHT(A27)*1),Matches!A:B,2,FALSE)</f>
        <v>1 v 3</v>
      </c>
      <c r="C27" s="24" t="str">
        <f t="shared" si="7"/>
        <v>MxB1 v 3</v>
      </c>
      <c r="D27" s="40" t="str">
        <f>VLOOKUP(LEFT($B27)&amp;LEFT($A27,2)&amp;"B",Players!$C:$H,6,FALSE)</f>
        <v>Kerry Kirkwood &amp; Lisa Edgar</v>
      </c>
      <c r="E27" s="40" t="str">
        <f>VLOOKUP(RIGHT($B27)&amp;LEFT($A27,2)&amp;"B",Players!$C:$H,6,FALSE)</f>
        <v>Jahangir Hussain &amp; Helen Yates</v>
      </c>
      <c r="F27" s="24">
        <f>'Mixed Scorecards'!E$341</f>
        <v>21</v>
      </c>
      <c r="G27" s="24">
        <f>'Mixed Scorecards'!F$341</f>
        <v>18</v>
      </c>
      <c r="H27" s="24">
        <f t="shared" si="1"/>
        <v>3</v>
      </c>
      <c r="I27" s="24">
        <f>'Mixed Scorecards'!E$342</f>
        <v>21</v>
      </c>
      <c r="J27" s="24">
        <f>'Mixed Scorecards'!F$342</f>
        <v>16</v>
      </c>
      <c r="K27" s="24">
        <f t="shared" si="2"/>
        <v>5</v>
      </c>
      <c r="L27" s="24">
        <f t="shared" si="3"/>
        <v>2</v>
      </c>
      <c r="M27" s="24">
        <f t="shared" si="4"/>
        <v>0</v>
      </c>
      <c r="N27" s="24" t="str">
        <f t="shared" si="5"/>
        <v>MxB6</v>
      </c>
    </row>
  </sheetData>
  <sheetProtection sheet="1" objects="1" scenarios="1"/>
  <pageMargins left="0.19685039370078741" right="0.19685039370078741" top="0.19685039370078741" bottom="0.19685039370078741" header="0" footer="0"/>
  <pageSetup paperSize="9" scale="62" fitToHeight="0" orientation="landscape" r:id="rId1"/>
  <ignoredErrors>
    <ignoredError sqref="G8:G2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21"/>
  <sheetViews>
    <sheetView workbookViewId="0"/>
  </sheetViews>
  <sheetFormatPr defaultRowHeight="15" x14ac:dyDescent="0.25"/>
  <cols>
    <col min="1" max="1" width="9.140625" style="25"/>
    <col min="2" max="2" width="9.140625" style="23"/>
    <col min="3" max="3" width="9.140625" style="23" customWidth="1"/>
    <col min="4" max="7" width="16.7109375" style="23" customWidth="1"/>
    <col min="8" max="8" width="32.7109375" style="23" customWidth="1"/>
    <col min="9" max="11" width="16.7109375" style="25" customWidth="1"/>
    <col min="12" max="14" width="12.7109375" style="25" customWidth="1"/>
    <col min="15" max="16384" width="9.140625" style="23"/>
  </cols>
  <sheetData>
    <row r="1" spans="1:14" s="26" customFormat="1" ht="30" customHeight="1" x14ac:dyDescent="0.35">
      <c r="A1" s="39" t="s">
        <v>133</v>
      </c>
      <c r="B1"/>
      <c r="C1"/>
      <c r="D1"/>
      <c r="E1"/>
      <c r="F1"/>
      <c r="G1"/>
      <c r="H1"/>
      <c r="I1"/>
      <c r="J1"/>
      <c r="K1"/>
      <c r="L1" s="50"/>
      <c r="M1" s="50"/>
      <c r="N1" s="50"/>
    </row>
    <row r="2" spans="1:14" s="26" customFormat="1" ht="23.25" x14ac:dyDescent="0.35">
      <c r="A2" s="39" t="s">
        <v>72</v>
      </c>
      <c r="B2"/>
      <c r="C2"/>
      <c r="D2"/>
      <c r="E2"/>
      <c r="F2"/>
      <c r="G2"/>
      <c r="H2" s="35"/>
      <c r="L2" s="74" t="s">
        <v>94</v>
      </c>
      <c r="M2" s="74"/>
      <c r="N2" s="74"/>
    </row>
    <row r="3" spans="1:14" s="38" customFormat="1" x14ac:dyDescent="0.25">
      <c r="A3" s="37" t="s">
        <v>48</v>
      </c>
      <c r="B3" s="36" t="s">
        <v>73</v>
      </c>
      <c r="C3" s="36" t="s">
        <v>76</v>
      </c>
      <c r="D3" s="36" t="s">
        <v>74</v>
      </c>
      <c r="E3" s="36" t="s">
        <v>90</v>
      </c>
      <c r="F3" s="36" t="s">
        <v>75</v>
      </c>
      <c r="G3" s="36" t="s">
        <v>91</v>
      </c>
      <c r="H3" s="36" t="s">
        <v>73</v>
      </c>
      <c r="I3" s="37" t="s">
        <v>77</v>
      </c>
      <c r="J3" s="37" t="s">
        <v>78</v>
      </c>
      <c r="K3" s="37" t="s">
        <v>79</v>
      </c>
      <c r="L3" s="51" t="s">
        <v>92</v>
      </c>
      <c r="M3" s="51" t="s">
        <v>93</v>
      </c>
      <c r="N3" s="51" t="s">
        <v>158</v>
      </c>
    </row>
    <row r="4" spans="1:14" x14ac:dyDescent="0.25">
      <c r="A4" s="24">
        <v>1</v>
      </c>
      <c r="B4" s="40" t="s">
        <v>51</v>
      </c>
      <c r="C4" s="40" t="str">
        <f t="shared" ref="C4:C19" si="0">A4&amp;B4</f>
        <v>1M</v>
      </c>
      <c r="D4" s="58" t="s">
        <v>140</v>
      </c>
      <c r="E4" s="58" t="s">
        <v>138</v>
      </c>
      <c r="F4" s="58" t="s">
        <v>139</v>
      </c>
      <c r="G4" s="58" t="s">
        <v>138</v>
      </c>
      <c r="H4" s="40" t="str">
        <f>D4&amp;" &amp; "&amp;F4</f>
        <v>Jake White &amp; Dave Edgar</v>
      </c>
      <c r="I4" s="24">
        <f>SUMIF('Match Results'!$D:$D,Players!$H4,'Match Results'!$L:$L)+SUMIF('Match Results'!$E:$E,Players!$H4,'Match Results'!$M:$M)</f>
        <v>1</v>
      </c>
      <c r="J4" s="24">
        <f>SUMIF('Match Results'!$D:$D,Players!$H4,'Match Results'!$F:$F)+SUMIF('Match Results'!$D:$D,Players!$H4,'Match Results'!$I:$I)+SUMIF('Match Results'!$E:$E,Players!$H4,'Match Results'!$G:$G)+SUMIF('Match Results'!$E:$E,Players!$H4,'Match Results'!$J:$J)</f>
        <v>72</v>
      </c>
      <c r="K4" s="24">
        <f>SUMIF('Match Results'!$D:$D,Players!$H4,'Match Results'!$G:$G)+SUMIF('Match Results'!$D:$D,Players!$H4,'Match Results'!$J:$J)+SUMIF('Match Results'!$E:$E,Players!$H4,'Match Results'!$F:$F)+SUMIF('Match Results'!$E:$E,Players!$H4,'Match Results'!$I:$I)</f>
        <v>125</v>
      </c>
    </row>
    <row r="5" spans="1:14" x14ac:dyDescent="0.25">
      <c r="A5" s="24">
        <v>1</v>
      </c>
      <c r="B5" s="40" t="s">
        <v>54</v>
      </c>
      <c r="C5" s="40" t="str">
        <f t="shared" si="0"/>
        <v>1L</v>
      </c>
      <c r="D5" s="58" t="s">
        <v>145</v>
      </c>
      <c r="E5" s="58" t="s">
        <v>142</v>
      </c>
      <c r="F5" s="58" t="s">
        <v>146</v>
      </c>
      <c r="G5" s="58" t="s">
        <v>142</v>
      </c>
      <c r="H5" s="40" t="str">
        <f t="shared" ref="H5:H19" si="1">D5&amp;" &amp; "&amp;F5</f>
        <v>Catriona Golds &amp; Rachel Flood</v>
      </c>
      <c r="I5" s="24">
        <f>SUMIF('Match Results'!$D:$D,Players!$H5,'Match Results'!$L:$L)+SUMIF('Match Results'!$E:$E,Players!$H5,'Match Results'!$M:$M)</f>
        <v>5</v>
      </c>
      <c r="J5" s="24">
        <f>SUMIF('Match Results'!$D:$D,Players!$H5,'Match Results'!$F:$F)+SUMIF('Match Results'!$D:$D,Players!$H5,'Match Results'!$I:$I)+SUMIF('Match Results'!$E:$E,Players!$H5,'Match Results'!$G:$G)+SUMIF('Match Results'!$E:$E,Players!$H5,'Match Results'!$J:$J)</f>
        <v>114</v>
      </c>
      <c r="K5" s="24">
        <f>SUMIF('Match Results'!$D:$D,Players!$H5,'Match Results'!$G:$G)+SUMIF('Match Results'!$D:$D,Players!$H5,'Match Results'!$J:$J)+SUMIF('Match Results'!$E:$E,Players!$H5,'Match Results'!$F:$F)+SUMIF('Match Results'!$E:$E,Players!$H5,'Match Results'!$I:$I)</f>
        <v>107</v>
      </c>
    </row>
    <row r="6" spans="1:14" x14ac:dyDescent="0.25">
      <c r="A6" s="24">
        <v>1</v>
      </c>
      <c r="B6" s="40" t="s">
        <v>80</v>
      </c>
      <c r="C6" s="40" t="str">
        <f t="shared" si="0"/>
        <v>1MxA</v>
      </c>
      <c r="D6" s="58" t="s">
        <v>144</v>
      </c>
      <c r="E6" s="58" t="s">
        <v>142</v>
      </c>
      <c r="F6" s="58" t="s">
        <v>143</v>
      </c>
      <c r="G6" s="58" t="s">
        <v>142</v>
      </c>
      <c r="H6" s="40" t="str">
        <f t="shared" si="1"/>
        <v>James Kee &amp; Julie Leeming</v>
      </c>
      <c r="I6" s="24">
        <f>SUMIF('Match Results'!$D:$D,Players!$H6,'Match Results'!$L:$L)+SUMIF('Match Results'!$E:$E,Players!$H6,'Match Results'!$M:$M)</f>
        <v>2</v>
      </c>
      <c r="J6" s="24">
        <f>SUMIF('Match Results'!$D:$D,Players!$H6,'Match Results'!$F:$F)+SUMIF('Match Results'!$D:$D,Players!$H6,'Match Results'!$I:$I)+SUMIF('Match Results'!$E:$E,Players!$H6,'Match Results'!$G:$G)+SUMIF('Match Results'!$E:$E,Players!$H6,'Match Results'!$J:$J)</f>
        <v>92</v>
      </c>
      <c r="K6" s="24">
        <f>SUMIF('Match Results'!$D:$D,Players!$H6,'Match Results'!$G:$G)+SUMIF('Match Results'!$D:$D,Players!$H6,'Match Results'!$J:$J)+SUMIF('Match Results'!$E:$E,Players!$H6,'Match Results'!$F:$F)+SUMIF('Match Results'!$E:$E,Players!$H6,'Match Results'!$I:$I)</f>
        <v>119</v>
      </c>
    </row>
    <row r="7" spans="1:14" x14ac:dyDescent="0.25">
      <c r="A7" s="24">
        <v>1</v>
      </c>
      <c r="B7" s="40" t="s">
        <v>81</v>
      </c>
      <c r="C7" s="40" t="str">
        <f t="shared" si="0"/>
        <v>1MxB</v>
      </c>
      <c r="D7" s="58" t="s">
        <v>137</v>
      </c>
      <c r="E7" s="58" t="s">
        <v>138</v>
      </c>
      <c r="F7" s="58" t="s">
        <v>141</v>
      </c>
      <c r="G7" s="58" t="s">
        <v>142</v>
      </c>
      <c r="H7" s="40" t="str">
        <f t="shared" si="1"/>
        <v>Kerry Kirkwood &amp; Lisa Edgar</v>
      </c>
      <c r="I7" s="24">
        <f>SUMIF('Match Results'!$D:$D,Players!$H7,'Match Results'!$L:$L)+SUMIF('Match Results'!$E:$E,Players!$H7,'Match Results'!$M:$M)</f>
        <v>5</v>
      </c>
      <c r="J7" s="24">
        <f>SUMIF('Match Results'!$D:$D,Players!$H7,'Match Results'!$F:$F)+SUMIF('Match Results'!$D:$D,Players!$H7,'Match Results'!$I:$I)+SUMIF('Match Results'!$E:$E,Players!$H7,'Match Results'!$G:$G)+SUMIF('Match Results'!$E:$E,Players!$H7,'Match Results'!$J:$J)</f>
        <v>113</v>
      </c>
      <c r="K7" s="24">
        <f>SUMIF('Match Results'!$D:$D,Players!$H7,'Match Results'!$G:$G)+SUMIF('Match Results'!$D:$D,Players!$H7,'Match Results'!$J:$J)+SUMIF('Match Results'!$E:$E,Players!$H7,'Match Results'!$F:$F)+SUMIF('Match Results'!$E:$E,Players!$H7,'Match Results'!$I:$I)</f>
        <v>114</v>
      </c>
      <c r="L7" s="25">
        <f>SUM(J4:J7)</f>
        <v>391</v>
      </c>
      <c r="M7" s="25">
        <f>SUM(K4:K7)</f>
        <v>465</v>
      </c>
      <c r="N7" s="25">
        <f>L7-M7</f>
        <v>-74</v>
      </c>
    </row>
    <row r="8" spans="1:14" x14ac:dyDescent="0.25">
      <c r="A8" s="24">
        <v>2</v>
      </c>
      <c r="B8" s="40" t="s">
        <v>51</v>
      </c>
      <c r="C8" s="40" t="str">
        <f t="shared" si="0"/>
        <v>2M</v>
      </c>
      <c r="D8" s="58" t="s">
        <v>149</v>
      </c>
      <c r="E8" s="58" t="s">
        <v>148</v>
      </c>
      <c r="F8" s="58" t="s">
        <v>147</v>
      </c>
      <c r="G8" s="58" t="s">
        <v>148</v>
      </c>
      <c r="H8" s="40" t="str">
        <f t="shared" si="1"/>
        <v>Michael Featherstone &amp; Ryan Tai</v>
      </c>
      <c r="I8" s="24">
        <f>SUMIF('Match Results'!$D:$D,Players!$H8,'Match Results'!$L:$L)+SUMIF('Match Results'!$E:$E,Players!$H8,'Match Results'!$M:$M)</f>
        <v>6</v>
      </c>
      <c r="J8" s="24">
        <f>SUMIF('Match Results'!$D:$D,Players!$H8,'Match Results'!$F:$F)+SUMIF('Match Results'!$D:$D,Players!$H8,'Match Results'!$I:$I)+SUMIF('Match Results'!$E:$E,Players!$H8,'Match Results'!$G:$G)+SUMIF('Match Results'!$E:$E,Players!$H8,'Match Results'!$J:$J)</f>
        <v>126</v>
      </c>
      <c r="K8" s="24">
        <f>SUMIF('Match Results'!$D:$D,Players!$H8,'Match Results'!$G:$G)+SUMIF('Match Results'!$D:$D,Players!$H8,'Match Results'!$J:$J)+SUMIF('Match Results'!$E:$E,Players!$H8,'Match Results'!$F:$F)+SUMIF('Match Results'!$E:$E,Players!$H8,'Match Results'!$I:$I)</f>
        <v>91</v>
      </c>
    </row>
    <row r="9" spans="1:14" x14ac:dyDescent="0.25">
      <c r="A9" s="24">
        <v>2</v>
      </c>
      <c r="B9" s="40" t="s">
        <v>54</v>
      </c>
      <c r="C9" s="40" t="str">
        <f t="shared" si="0"/>
        <v>2L</v>
      </c>
      <c r="D9" s="58" t="s">
        <v>150</v>
      </c>
      <c r="E9" s="58" t="s">
        <v>138</v>
      </c>
      <c r="F9" s="58" t="s">
        <v>151</v>
      </c>
      <c r="G9" s="58" t="s">
        <v>116</v>
      </c>
      <c r="H9" s="40" t="str">
        <f t="shared" si="1"/>
        <v>Araadhna Singh &amp; Hannah Burke</v>
      </c>
      <c r="I9" s="24">
        <f>SUMIF('Match Results'!$D:$D,Players!$H9,'Match Results'!$L:$L)+SUMIF('Match Results'!$E:$E,Players!$H9,'Match Results'!$M:$M)</f>
        <v>1</v>
      </c>
      <c r="J9" s="24">
        <f>SUMIF('Match Results'!$D:$D,Players!$H9,'Match Results'!$F:$F)+SUMIF('Match Results'!$D:$D,Players!$H9,'Match Results'!$I:$I)+SUMIF('Match Results'!$E:$E,Players!$H9,'Match Results'!$G:$G)+SUMIF('Match Results'!$E:$E,Players!$H9,'Match Results'!$J:$J)</f>
        <v>96</v>
      </c>
      <c r="K9" s="24">
        <f>SUMIF('Match Results'!$D:$D,Players!$H9,'Match Results'!$G:$G)+SUMIF('Match Results'!$D:$D,Players!$H9,'Match Results'!$J:$J)+SUMIF('Match Results'!$E:$E,Players!$H9,'Match Results'!$F:$F)+SUMIF('Match Results'!$E:$E,Players!$H9,'Match Results'!$I:$I)</f>
        <v>125</v>
      </c>
    </row>
    <row r="10" spans="1:14" x14ac:dyDescent="0.25">
      <c r="A10" s="24">
        <v>2</v>
      </c>
      <c r="B10" s="40" t="s">
        <v>80</v>
      </c>
      <c r="C10" s="40" t="str">
        <f t="shared" si="0"/>
        <v>2MxA</v>
      </c>
      <c r="D10" s="58" t="s">
        <v>153</v>
      </c>
      <c r="E10" s="58" t="s">
        <v>138</v>
      </c>
      <c r="F10" s="58" t="s">
        <v>152</v>
      </c>
      <c r="G10" s="58" t="s">
        <v>138</v>
      </c>
      <c r="H10" s="40" t="str">
        <f t="shared" si="1"/>
        <v>Duncan Hurlstone &amp; Emily Stapley</v>
      </c>
      <c r="I10" s="24">
        <f>SUMIF('Match Results'!$D:$D,Players!$H10,'Match Results'!$L:$L)+SUMIF('Match Results'!$E:$E,Players!$H10,'Match Results'!$M:$M)</f>
        <v>2</v>
      </c>
      <c r="J10" s="24">
        <f>SUMIF('Match Results'!$D:$D,Players!$H10,'Match Results'!$F:$F)+SUMIF('Match Results'!$D:$D,Players!$H10,'Match Results'!$I:$I)+SUMIF('Match Results'!$E:$E,Players!$H10,'Match Results'!$G:$G)+SUMIF('Match Results'!$E:$E,Players!$H10,'Match Results'!$J:$J)</f>
        <v>112</v>
      </c>
      <c r="K10" s="24">
        <f>SUMIF('Match Results'!$D:$D,Players!$H10,'Match Results'!$G:$G)+SUMIF('Match Results'!$D:$D,Players!$H10,'Match Results'!$J:$J)+SUMIF('Match Results'!$E:$E,Players!$H10,'Match Results'!$F:$F)+SUMIF('Match Results'!$E:$E,Players!$H10,'Match Results'!$I:$I)</f>
        <v>120</v>
      </c>
    </row>
    <row r="11" spans="1:14" x14ac:dyDescent="0.25">
      <c r="A11" s="24">
        <v>2</v>
      </c>
      <c r="B11" s="40" t="s">
        <v>81</v>
      </c>
      <c r="C11" s="40" t="str">
        <f t="shared" si="0"/>
        <v>2MxB</v>
      </c>
      <c r="D11" s="58" t="s">
        <v>155</v>
      </c>
      <c r="E11" s="58" t="s">
        <v>138</v>
      </c>
      <c r="F11" s="58" t="s">
        <v>154</v>
      </c>
      <c r="G11" s="58" t="s">
        <v>138</v>
      </c>
      <c r="H11" s="40" t="str">
        <f t="shared" si="1"/>
        <v>Andy Foy &amp; Lesley Fryer</v>
      </c>
      <c r="I11" s="24">
        <f>SUMIF('Match Results'!$D:$D,Players!$H11,'Match Results'!$L:$L)+SUMIF('Match Results'!$E:$E,Players!$H11,'Match Results'!$M:$M)</f>
        <v>0</v>
      </c>
      <c r="J11" s="24">
        <f>SUMIF('Match Results'!$D:$D,Players!$H11,'Match Results'!$F:$F)+SUMIF('Match Results'!$D:$D,Players!$H11,'Match Results'!$I:$I)+SUMIF('Match Results'!$E:$E,Players!$H11,'Match Results'!$G:$G)+SUMIF('Match Results'!$E:$E,Players!$H11,'Match Results'!$J:$J)</f>
        <v>100</v>
      </c>
      <c r="K11" s="24">
        <f>SUMIF('Match Results'!$D:$D,Players!$H11,'Match Results'!$G:$G)+SUMIF('Match Results'!$D:$D,Players!$H11,'Match Results'!$J:$J)+SUMIF('Match Results'!$E:$E,Players!$H11,'Match Results'!$F:$F)+SUMIF('Match Results'!$E:$E,Players!$H11,'Match Results'!$I:$I)</f>
        <v>126</v>
      </c>
      <c r="L11" s="25">
        <f>SUM(J8:J11)</f>
        <v>434</v>
      </c>
      <c r="M11" s="25">
        <f>SUM(K8:K11)</f>
        <v>462</v>
      </c>
      <c r="N11" s="25">
        <f>L11-M11</f>
        <v>-28</v>
      </c>
    </row>
    <row r="12" spans="1:14" x14ac:dyDescent="0.25">
      <c r="A12" s="24">
        <v>3</v>
      </c>
      <c r="B12" s="40" t="s">
        <v>51</v>
      </c>
      <c r="C12" s="40" t="str">
        <f t="shared" si="0"/>
        <v>3M</v>
      </c>
      <c r="D12" s="57" t="s">
        <v>117</v>
      </c>
      <c r="E12" s="57" t="s">
        <v>119</v>
      </c>
      <c r="F12" s="57" t="s">
        <v>118</v>
      </c>
      <c r="G12" s="57" t="s">
        <v>119</v>
      </c>
      <c r="H12" s="40" t="str">
        <f t="shared" si="1"/>
        <v>Jetmond Ma &amp; Yu Hin Wong</v>
      </c>
      <c r="I12" s="24">
        <f>SUMIF('Match Results'!$D:$D,Players!$H12,'Match Results'!$L:$L)+SUMIF('Match Results'!$E:$E,Players!$H12,'Match Results'!$M:$M)</f>
        <v>2</v>
      </c>
      <c r="J12" s="24">
        <f>SUMIF('Match Results'!$D:$D,Players!$H12,'Match Results'!$F:$F)+SUMIF('Match Results'!$D:$D,Players!$H12,'Match Results'!$I:$I)+SUMIF('Match Results'!$E:$E,Players!$H12,'Match Results'!$G:$G)+SUMIF('Match Results'!$E:$E,Players!$H12,'Match Results'!$J:$J)</f>
        <v>112</v>
      </c>
      <c r="K12" s="24">
        <f>SUMIF('Match Results'!$D:$D,Players!$H12,'Match Results'!$G:$G)+SUMIF('Match Results'!$D:$D,Players!$H12,'Match Results'!$J:$J)+SUMIF('Match Results'!$E:$E,Players!$H12,'Match Results'!$F:$F)+SUMIF('Match Results'!$E:$E,Players!$H12,'Match Results'!$I:$I)</f>
        <v>113</v>
      </c>
    </row>
    <row r="13" spans="1:14" x14ac:dyDescent="0.25">
      <c r="A13" s="24">
        <v>3</v>
      </c>
      <c r="B13" s="40" t="s">
        <v>54</v>
      </c>
      <c r="C13" s="40" t="str">
        <f t="shared" si="0"/>
        <v>3L</v>
      </c>
      <c r="D13" s="57" t="s">
        <v>114</v>
      </c>
      <c r="E13" s="57" t="s">
        <v>116</v>
      </c>
      <c r="F13" s="57" t="s">
        <v>115</v>
      </c>
      <c r="G13" s="58" t="s">
        <v>116</v>
      </c>
      <c r="H13" s="40" t="str">
        <f t="shared" si="1"/>
        <v>Hema Mistry &amp; Katie Donegan</v>
      </c>
      <c r="I13" s="24">
        <f>SUMIF('Match Results'!$D:$D,Players!$H13,'Match Results'!$L:$L)+SUMIF('Match Results'!$E:$E,Players!$H13,'Match Results'!$M:$M)</f>
        <v>3</v>
      </c>
      <c r="J13" s="24">
        <f>SUMIF('Match Results'!$D:$D,Players!$H13,'Match Results'!$F:$F)+SUMIF('Match Results'!$D:$D,Players!$H13,'Match Results'!$I:$I)+SUMIF('Match Results'!$E:$E,Players!$H13,'Match Results'!$G:$G)+SUMIF('Match Results'!$E:$E,Players!$H13,'Match Results'!$J:$J)</f>
        <v>119</v>
      </c>
      <c r="K13" s="24">
        <f>SUMIF('Match Results'!$D:$D,Players!$H13,'Match Results'!$G:$G)+SUMIF('Match Results'!$D:$D,Players!$H13,'Match Results'!$J:$J)+SUMIF('Match Results'!$E:$E,Players!$H13,'Match Results'!$F:$F)+SUMIF('Match Results'!$E:$E,Players!$H13,'Match Results'!$I:$I)</f>
        <v>106</v>
      </c>
    </row>
    <row r="14" spans="1:14" x14ac:dyDescent="0.25">
      <c r="A14" s="24">
        <v>3</v>
      </c>
      <c r="B14" s="40" t="s">
        <v>80</v>
      </c>
      <c r="C14" s="40" t="str">
        <f t="shared" si="0"/>
        <v>3MxA</v>
      </c>
      <c r="D14" s="57" t="s">
        <v>120</v>
      </c>
      <c r="E14" s="57" t="s">
        <v>122</v>
      </c>
      <c r="F14" s="57" t="s">
        <v>121</v>
      </c>
      <c r="G14" s="58" t="s">
        <v>122</v>
      </c>
      <c r="H14" s="40" t="str">
        <f t="shared" si="1"/>
        <v>Pasha Riley &amp; Avril Sloane</v>
      </c>
      <c r="I14" s="24">
        <f>SUMIF('Match Results'!$D:$D,Players!$H14,'Match Results'!$L:$L)+SUMIF('Match Results'!$E:$E,Players!$H14,'Match Results'!$M:$M)</f>
        <v>3</v>
      </c>
      <c r="J14" s="24">
        <f>SUMIF('Match Results'!$D:$D,Players!$H14,'Match Results'!$F:$F)+SUMIF('Match Results'!$D:$D,Players!$H14,'Match Results'!$I:$I)+SUMIF('Match Results'!$E:$E,Players!$H14,'Match Results'!$G:$G)+SUMIF('Match Results'!$E:$E,Players!$H14,'Match Results'!$J:$J)</f>
        <v>108</v>
      </c>
      <c r="K14" s="24">
        <f>SUMIF('Match Results'!$D:$D,Players!$H14,'Match Results'!$G:$G)+SUMIF('Match Results'!$D:$D,Players!$H14,'Match Results'!$J:$J)+SUMIF('Match Results'!$E:$E,Players!$H14,'Match Results'!$F:$F)+SUMIF('Match Results'!$E:$E,Players!$H14,'Match Results'!$I:$I)</f>
        <v>109</v>
      </c>
    </row>
    <row r="15" spans="1:14" x14ac:dyDescent="0.25">
      <c r="A15" s="24">
        <v>3</v>
      </c>
      <c r="B15" s="40" t="s">
        <v>81</v>
      </c>
      <c r="C15" s="40" t="str">
        <f t="shared" si="0"/>
        <v>3MxB</v>
      </c>
      <c r="D15" s="58" t="s">
        <v>156</v>
      </c>
      <c r="E15" s="58" t="s">
        <v>126</v>
      </c>
      <c r="F15" s="57" t="s">
        <v>123</v>
      </c>
      <c r="G15" s="57" t="s">
        <v>124</v>
      </c>
      <c r="H15" s="40" t="str">
        <f t="shared" si="1"/>
        <v>Jahangir Hussain &amp; Helen Yates</v>
      </c>
      <c r="I15" s="24">
        <f>SUMIF('Match Results'!$D:$D,Players!$H15,'Match Results'!$L:$L)+SUMIF('Match Results'!$E:$E,Players!$H15,'Match Results'!$M:$M)</f>
        <v>2</v>
      </c>
      <c r="J15" s="24">
        <f>SUMIF('Match Results'!$D:$D,Players!$H15,'Match Results'!$F:$F)+SUMIF('Match Results'!$D:$D,Players!$H15,'Match Results'!$I:$I)+SUMIF('Match Results'!$E:$E,Players!$H15,'Match Results'!$G:$G)+SUMIF('Match Results'!$E:$E,Players!$H15,'Match Results'!$J:$J)</f>
        <v>107</v>
      </c>
      <c r="K15" s="24">
        <f>SUMIF('Match Results'!$D:$D,Players!$H15,'Match Results'!$G:$G)+SUMIF('Match Results'!$D:$D,Players!$H15,'Match Results'!$J:$J)+SUMIF('Match Results'!$E:$E,Players!$H15,'Match Results'!$F:$F)+SUMIF('Match Results'!$E:$E,Players!$H15,'Match Results'!$I:$I)</f>
        <v>117</v>
      </c>
      <c r="L15" s="25">
        <f>SUM(J12:J15)</f>
        <v>446</v>
      </c>
      <c r="M15" s="25">
        <f>SUM(K12:K15)</f>
        <v>445</v>
      </c>
      <c r="N15" s="25">
        <f>L15-M15</f>
        <v>1</v>
      </c>
    </row>
    <row r="16" spans="1:14" x14ac:dyDescent="0.25">
      <c r="A16" s="24">
        <v>4</v>
      </c>
      <c r="B16" s="40" t="s">
        <v>51</v>
      </c>
      <c r="C16" s="40" t="str">
        <f t="shared" si="0"/>
        <v>4M</v>
      </c>
      <c r="D16" s="58" t="s">
        <v>136</v>
      </c>
      <c r="E16" s="58" t="s">
        <v>131</v>
      </c>
      <c r="F16" s="58" t="s">
        <v>132</v>
      </c>
      <c r="G16" s="58" t="s">
        <v>131</v>
      </c>
      <c r="H16" s="40" t="str">
        <f t="shared" si="1"/>
        <v>Ji Qiao &amp; Henry Noorveriandi</v>
      </c>
      <c r="I16" s="24">
        <f>SUMIF('Match Results'!$D:$D,Players!$H16,'Match Results'!$L:$L)+SUMIF('Match Results'!$E:$E,Players!$H16,'Match Results'!$M:$M)</f>
        <v>3</v>
      </c>
      <c r="J16" s="24">
        <f>SUMIF('Match Results'!$D:$D,Players!$H16,'Match Results'!$F:$F)+SUMIF('Match Results'!$D:$D,Players!$H16,'Match Results'!$I:$I)+SUMIF('Match Results'!$E:$E,Players!$H16,'Match Results'!$G:$G)+SUMIF('Match Results'!$E:$E,Players!$H16,'Match Results'!$J:$J)</f>
        <v>116</v>
      </c>
      <c r="K16" s="24">
        <f>SUMIF('Match Results'!$D:$D,Players!$H16,'Match Results'!$G:$G)+SUMIF('Match Results'!$D:$D,Players!$H16,'Match Results'!$J:$J)+SUMIF('Match Results'!$E:$E,Players!$H16,'Match Results'!$F:$F)+SUMIF('Match Results'!$E:$E,Players!$H16,'Match Results'!$I:$I)</f>
        <v>97</v>
      </c>
    </row>
    <row r="17" spans="1:14" x14ac:dyDescent="0.25">
      <c r="A17" s="24">
        <v>4</v>
      </c>
      <c r="B17" s="40" t="s">
        <v>54</v>
      </c>
      <c r="C17" s="40" t="str">
        <f t="shared" si="0"/>
        <v>4L</v>
      </c>
      <c r="D17" s="58" t="s">
        <v>127</v>
      </c>
      <c r="E17" s="59" t="s">
        <v>129</v>
      </c>
      <c r="F17" s="58" t="s">
        <v>128</v>
      </c>
      <c r="G17" s="59" t="s">
        <v>129</v>
      </c>
      <c r="H17" s="40" t="str">
        <f t="shared" si="1"/>
        <v>Anne Tang &amp; Stephanie Wyatt</v>
      </c>
      <c r="I17" s="24">
        <f>SUMIF('Match Results'!$D:$D,Players!$H17,'Match Results'!$L:$L)+SUMIF('Match Results'!$E:$E,Players!$H17,'Match Results'!$M:$M)</f>
        <v>3</v>
      </c>
      <c r="J17" s="24">
        <f>SUMIF('Match Results'!$D:$D,Players!$H17,'Match Results'!$F:$F)+SUMIF('Match Results'!$D:$D,Players!$H17,'Match Results'!$I:$I)+SUMIF('Match Results'!$E:$E,Players!$H17,'Match Results'!$G:$G)+SUMIF('Match Results'!$E:$E,Players!$H17,'Match Results'!$J:$J)</f>
        <v>119</v>
      </c>
      <c r="K17" s="24">
        <f>SUMIF('Match Results'!$D:$D,Players!$H17,'Match Results'!$G:$G)+SUMIF('Match Results'!$D:$D,Players!$H17,'Match Results'!$J:$J)+SUMIF('Match Results'!$E:$E,Players!$H17,'Match Results'!$F:$F)+SUMIF('Match Results'!$E:$E,Players!$H17,'Match Results'!$I:$I)</f>
        <v>110</v>
      </c>
    </row>
    <row r="18" spans="1:14" x14ac:dyDescent="0.25">
      <c r="A18" s="24">
        <v>4</v>
      </c>
      <c r="B18" s="40" t="s">
        <v>80</v>
      </c>
      <c r="C18" s="40" t="str">
        <f t="shared" si="0"/>
        <v>4MxA</v>
      </c>
      <c r="D18" s="58" t="s">
        <v>159</v>
      </c>
      <c r="E18" s="58" t="s">
        <v>131</v>
      </c>
      <c r="F18" s="58" t="s">
        <v>130</v>
      </c>
      <c r="G18" s="58" t="s">
        <v>131</v>
      </c>
      <c r="H18" s="40" t="str">
        <f t="shared" si="1"/>
        <v>Rob Kirkpatrick &amp; Sally Dowgill</v>
      </c>
      <c r="I18" s="24">
        <f>SUMIF('Match Results'!$D:$D,Players!$H18,'Match Results'!$L:$L)+SUMIF('Match Results'!$E:$E,Players!$H18,'Match Results'!$M:$M)</f>
        <v>5</v>
      </c>
      <c r="J18" s="24">
        <f>SUMIF('Match Results'!$D:$D,Players!$H18,'Match Results'!$F:$F)+SUMIF('Match Results'!$D:$D,Players!$H18,'Match Results'!$I:$I)+SUMIF('Match Results'!$E:$E,Players!$H18,'Match Results'!$G:$G)+SUMIF('Match Results'!$E:$E,Players!$H18,'Match Results'!$J:$J)</f>
        <v>124</v>
      </c>
      <c r="K18" s="24">
        <f>SUMIF('Match Results'!$D:$D,Players!$H18,'Match Results'!$G:$G)+SUMIF('Match Results'!$D:$D,Players!$H18,'Match Results'!$J:$J)+SUMIF('Match Results'!$E:$E,Players!$H18,'Match Results'!$F:$F)+SUMIF('Match Results'!$E:$E,Players!$H18,'Match Results'!$I:$I)</f>
        <v>88</v>
      </c>
    </row>
    <row r="19" spans="1:14" x14ac:dyDescent="0.25">
      <c r="A19" s="24">
        <v>4</v>
      </c>
      <c r="B19" s="40" t="s">
        <v>81</v>
      </c>
      <c r="C19" s="40" t="str">
        <f t="shared" si="0"/>
        <v>4MxB</v>
      </c>
      <c r="D19" s="58" t="s">
        <v>135</v>
      </c>
      <c r="E19" s="58" t="s">
        <v>126</v>
      </c>
      <c r="F19" s="58" t="s">
        <v>125</v>
      </c>
      <c r="G19" s="58" t="s">
        <v>126</v>
      </c>
      <c r="H19" s="40" t="str">
        <f t="shared" si="1"/>
        <v>Roshan Jahangir &amp; Janine Lancashire</v>
      </c>
      <c r="I19" s="24">
        <f>SUMIF('Match Results'!$D:$D,Players!$H19,'Match Results'!$L:$L)+SUMIF('Match Results'!$E:$E,Players!$H19,'Match Results'!$M:$M)</f>
        <v>5</v>
      </c>
      <c r="J19" s="24">
        <f>SUMIF('Match Results'!$D:$D,Players!$H19,'Match Results'!$F:$F)+SUMIF('Match Results'!$D:$D,Players!$H19,'Match Results'!$I:$I)+SUMIF('Match Results'!$E:$E,Players!$H19,'Match Results'!$G:$G)+SUMIF('Match Results'!$E:$E,Players!$H19,'Match Results'!$J:$J)</f>
        <v>125</v>
      </c>
      <c r="K19" s="24">
        <f>SUMIF('Match Results'!$D:$D,Players!$H19,'Match Results'!$G:$G)+SUMIF('Match Results'!$D:$D,Players!$H19,'Match Results'!$J:$J)+SUMIF('Match Results'!$E:$E,Players!$H19,'Match Results'!$F:$F)+SUMIF('Match Results'!$E:$E,Players!$H19,'Match Results'!$I:$I)</f>
        <v>88</v>
      </c>
      <c r="L19" s="25">
        <f>SUM(J16:J19)</f>
        <v>484</v>
      </c>
      <c r="M19" s="25">
        <f>SUM(K16:K19)</f>
        <v>383</v>
      </c>
      <c r="N19" s="25">
        <f>L19-M19</f>
        <v>101</v>
      </c>
    </row>
    <row r="21" spans="1:14" x14ac:dyDescent="0.25">
      <c r="A21" s="23" t="s">
        <v>157</v>
      </c>
    </row>
  </sheetData>
  <mergeCells count="1">
    <mergeCell ref="L2:N2"/>
  </mergeCells>
  <conditionalFormatting sqref="A4:K19">
    <cfRule type="expression" dxfId="3" priority="1">
      <formula>$I4=MAX(IF(LEFT($B4,2)=LEFT($B$4:$B$19,2),$I$4:$I$19))</formula>
    </cfRule>
  </conditionalFormatting>
  <pageMargins left="0.25" right="0.25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H17"/>
  <sheetViews>
    <sheetView zoomScale="115" zoomScaleNormal="115" workbookViewId="0"/>
  </sheetViews>
  <sheetFormatPr defaultRowHeight="15" x14ac:dyDescent="0.25"/>
  <cols>
    <col min="1" max="1" width="52.7109375" style="1" customWidth="1"/>
    <col min="2" max="2" width="8.7109375" style="1" customWidth="1"/>
    <col min="3" max="3" width="12.7109375" style="1" customWidth="1"/>
    <col min="4" max="8" width="12.7109375" style="2" customWidth="1"/>
    <col min="9" max="16384" width="9.140625" style="23"/>
  </cols>
  <sheetData>
    <row r="1" spans="1:8" s="26" customFormat="1" ht="30" customHeight="1" x14ac:dyDescent="0.35">
      <c r="A1" s="39" t="s">
        <v>133</v>
      </c>
      <c r="B1"/>
      <c r="C1"/>
      <c r="D1"/>
      <c r="E1"/>
      <c r="F1"/>
      <c r="G1"/>
      <c r="H1"/>
    </row>
    <row r="3" spans="1:8" ht="20.100000000000001" customHeight="1" x14ac:dyDescent="0.25">
      <c r="A3" s="3" t="s">
        <v>6</v>
      </c>
      <c r="B3" s="43"/>
      <c r="C3" s="43"/>
      <c r="D3" s="43"/>
      <c r="E3" s="43"/>
      <c r="F3" s="43"/>
      <c r="G3" s="43"/>
    </row>
    <row r="4" spans="1:8" x14ac:dyDescent="0.25">
      <c r="A4" s="42" t="s">
        <v>51</v>
      </c>
    </row>
    <row r="5" spans="1:8" ht="32.1" customHeight="1" x14ac:dyDescent="0.25">
      <c r="A5" s="18" t="s">
        <v>86</v>
      </c>
      <c r="B5" s="4" t="s">
        <v>85</v>
      </c>
      <c r="C5" s="52">
        <v>1</v>
      </c>
      <c r="D5" s="52">
        <v>2</v>
      </c>
      <c r="E5" s="52">
        <v>3</v>
      </c>
      <c r="F5" s="52">
        <v>4</v>
      </c>
      <c r="G5" s="4" t="s">
        <v>32</v>
      </c>
      <c r="H5" s="4" t="s">
        <v>49</v>
      </c>
    </row>
    <row r="6" spans="1:8" ht="20.100000000000001" customHeight="1" x14ac:dyDescent="0.25">
      <c r="A6" s="75" t="str">
        <f>VLOOKUP(B6&amp;$A$4,Players!$C:$H,2,FALSE)&amp;" ("&amp;VLOOKUP(B6&amp;$A$4,Players!$C:$H,3,FALSE)&amp;")"&amp;CHAR(10)&amp;VLOOKUP(B6&amp;$A$4,Players!$C:$H,4,FALSE)&amp;" ("&amp;VLOOKUP(B6&amp;$A$4,Players!$C:$H,5,FALSE)&amp;")"</f>
        <v>Jake White (Forest)
Dave Edgar (Forest)</v>
      </c>
      <c r="B6" s="82">
        <v>1</v>
      </c>
      <c r="C6" s="83" t="s">
        <v>89</v>
      </c>
      <c r="D6" s="53" t="str">
        <f>$A$4&amp;IF($B6=D$5,"-",IF($B6&lt;D$5,VLOOKUP($B6&amp;" v "&amp;D$5,Matches!$B:$K,10,FALSE),VLOOKUP(D$5&amp;" v "&amp;$B6,Matches!$B:$K,10,FALSE)))</f>
        <v>M1</v>
      </c>
      <c r="E6" s="53" t="str">
        <f>$A$4&amp;IF($B6=E$5,"-",IF($B6&lt;E$5,VLOOKUP($B6&amp;" v "&amp;E$5,Matches!$B:$K,10,FALSE),VLOOKUP(E$5&amp;" v "&amp;$B6,Matches!$B:$K,10,FALSE)))</f>
        <v>M6</v>
      </c>
      <c r="F6" s="53" t="str">
        <f>$A$4&amp;IF($B6=F$5,"-",IF($B6&lt;F$5,VLOOKUP($B6&amp;" v "&amp;F$5,Matches!$B:$K,10,FALSE),VLOOKUP(F$5&amp;" v "&amp;$B6,Matches!$B:$K,10,FALSE)))</f>
        <v>M4</v>
      </c>
      <c r="G6" s="87" t="str">
        <f>IF($B6=D$5,"-",IF($B6&lt;D$5,VLOOKUP(D6,'Match Results'!$A:$N,12,FALSE),VLOOKUP(D6,'Match Results'!$A:$N,13,FALSE)))&amp;"  "&amp;IF($B6=E$5,"-",IF($B6&lt;E$5,VLOOKUP(E6,'Match Results'!$A:$N,12,FALSE),VLOOKUP(E6,'Match Results'!$A:$N,13,FALSE)))&amp;"  "&amp;IF($B6=F$5,"-",IF($B6&lt;F$5,VLOOKUP(F6,'Match Results'!$A:$N,12,FALSE),VLOOKUP(F6,'Match Results'!$A:$N,13,FALSE)))</f>
        <v>0  1  0</v>
      </c>
      <c r="H6" s="84">
        <f>IF($B6=D$5,"-",IF($B6&lt;D$5,VLOOKUP(D6,'Match Results'!$A:$N,12,FALSE),VLOOKUP(D6,'Match Results'!$A:$N,13,FALSE)))+IF($B6=E$5,"-",IF($B6&lt;E$5,VLOOKUP(E6,'Match Results'!$A:$N,12,FALSE),VLOOKUP(E6,'Match Results'!$A:$N,13,FALSE)))+IF($B6=F$5,"-",IF($B6&lt;F$5,VLOOKUP(F6,'Match Results'!$A:$N,12,FALSE),VLOOKUP(F6,'Match Results'!$A:$N,13,FALSE)))</f>
        <v>1</v>
      </c>
    </row>
    <row r="7" spans="1:8" ht="20.100000000000001" customHeight="1" x14ac:dyDescent="0.25">
      <c r="A7" s="76"/>
      <c r="B7" s="82"/>
      <c r="C7" s="79"/>
      <c r="D7" s="56" t="str">
        <f>IF($B6=D$5,"-",IF($B6&lt;D$5,VLOOKUP(D6,'Match Results'!$A:$N,6,FALSE)&amp;" - "&amp;VLOOKUP(D6,'Match Results'!$A:$N,7,FALSE),VLOOKUP(D6,'Match Results'!$A:$N,7,FALSE)&amp;" - "&amp;" - "&amp;VLOOKUP(D6,'Match Results'!$A:$N,6,FALSE)))</f>
        <v>5 - 21</v>
      </c>
      <c r="E7" s="56" t="str">
        <f>IF($B6=E$5,"-",IF($B6&lt;E$5,VLOOKUP(E6,'Match Results'!$A:$N,6,FALSE)&amp;" - "&amp;VLOOKUP(E6,'Match Results'!$A:$N,7,FALSE),VLOOKUP(E6,'Match Results'!$A:$N,7,FALSE)&amp;" - "&amp;" - "&amp;VLOOKUP(E6,'Match Results'!$A:$N,6,FALSE)))</f>
        <v>10 - 21</v>
      </c>
      <c r="F7" s="56" t="str">
        <f>IF($B6=F$5,"-",IF($B6&lt;F$5,VLOOKUP(F6,'Match Results'!$A:$N,6,FALSE)&amp;" - "&amp;VLOOKUP(F6,'Match Results'!$A:$N,7,FALSE),VLOOKUP(F6,'Match Results'!$A:$N,7,FALSE)&amp;" - "&amp;" - "&amp;VLOOKUP(F6,'Match Results'!$A:$N,6,FALSE)))</f>
        <v>9 - 21</v>
      </c>
      <c r="G7" s="88"/>
      <c r="H7" s="85"/>
    </row>
    <row r="8" spans="1:8" ht="20.100000000000001" customHeight="1" x14ac:dyDescent="0.25">
      <c r="A8" s="77"/>
      <c r="B8" s="82"/>
      <c r="C8" s="80"/>
      <c r="D8" s="54" t="str">
        <f>IF($B6=D$5,"-",IF($B6&lt;D$5,VLOOKUP(D6,'Match Results'!$A:$N,9,FALSE)&amp;" - "&amp;VLOOKUP(D6,'Match Results'!$A:$N,10,FALSE),VLOOKUP(D6,'Match Results'!$A:$N,10,FALSE)&amp;" - "&amp;" - "&amp;VLOOKUP(D6,'Match Results'!$A:$N,9,FALSE)))</f>
        <v>18 - 21</v>
      </c>
      <c r="E8" s="54" t="str">
        <f>IF($B6=E$5,"-",IF($B6&lt;E$5,VLOOKUP(E6,'Match Results'!$A:$N,9,FALSE)&amp;" - "&amp;VLOOKUP(E6,'Match Results'!$A:$N,10,FALSE),VLOOKUP(E6,'Match Results'!$A:$N,10,FALSE)&amp;" - "&amp;" - "&amp;VLOOKUP(E6,'Match Results'!$A:$N,9,FALSE)))</f>
        <v>21 - 20</v>
      </c>
      <c r="F8" s="54" t="str">
        <f>IF($B6=F$5,"-",IF($B6&lt;F$5,VLOOKUP(F6,'Match Results'!$A:$N,9,FALSE)&amp;" - "&amp;VLOOKUP(F6,'Match Results'!$A:$N,10,FALSE),VLOOKUP(F6,'Match Results'!$A:$N,10,FALSE)&amp;" - "&amp;" - "&amp;VLOOKUP(F6,'Match Results'!$A:$N,9,FALSE)))</f>
        <v>9 - 21</v>
      </c>
      <c r="G8" s="86"/>
      <c r="H8" s="86"/>
    </row>
    <row r="9" spans="1:8" ht="20.100000000000001" customHeight="1" x14ac:dyDescent="0.25">
      <c r="A9" s="75" t="str">
        <f>VLOOKUP(B9&amp;$A$4,Players!$C:$H,2,FALSE)&amp;" ("&amp;VLOOKUP(B9&amp;$A$4,Players!$C:$H,3,FALSE)&amp;")"&amp;CHAR(10)&amp;VLOOKUP(B9&amp;$A$4,Players!$C:$H,4,FALSE)&amp;" ("&amp;VLOOKUP(B9&amp;$A$4,Players!$C:$H,5,FALSE)&amp;")"</f>
        <v>Michael Featherstone (Dome)
Ryan Tai (Dome)</v>
      </c>
      <c r="B9" s="81">
        <v>2</v>
      </c>
      <c r="C9" s="53" t="str">
        <f>$A$4&amp;IF($B9=C$5,"-",IF($B9&lt;C$5,VLOOKUP($B9&amp;" v "&amp;C$5,Matches!$B:$K,10,FALSE),VLOOKUP(C$5&amp;" v "&amp;$B9,Matches!$B:$K,10,FALSE)))</f>
        <v>M1</v>
      </c>
      <c r="D9" s="78" t="s">
        <v>89</v>
      </c>
      <c r="E9" s="55" t="str">
        <f>$A$4&amp;IF($B9=E$5,"-",IF($B9&lt;E$5,VLOOKUP($B9&amp;" v "&amp;E$5,Matches!$B:$K,10,FALSE),VLOOKUP(E$5&amp;" v "&amp;$B9,Matches!$B:$K,10,FALSE)))</f>
        <v>M3</v>
      </c>
      <c r="F9" s="53" t="str">
        <f>$A$4&amp;IF($B9=F$5,"-",IF($B9&lt;F$5,VLOOKUP($B9&amp;" v "&amp;F$5,Matches!$B:$K,10,FALSE),VLOOKUP(F$5&amp;" v "&amp;$B9,Matches!$B:$K,10,FALSE)))</f>
        <v>M5</v>
      </c>
      <c r="G9" s="87" t="str">
        <f>IF($B9=C$5,"-",IF($B9&lt;C$5,VLOOKUP(C9,'Match Results'!$A:$N,12,FALSE),VLOOKUP(C9,'Match Results'!$A:$N,13,FALSE)))&amp;"  "&amp;IF($B9=E$5,"-",IF($B9&lt;E$5,VLOOKUP(E9,'Match Results'!$A:$N,12,FALSE),VLOOKUP(E9,'Match Results'!$A:$N,13,FALSE)))&amp;"  "&amp;IF($B9=F$5,"-",IF($B9&lt;F$5,VLOOKUP(F9,'Match Results'!$A:$N,12,FALSE),VLOOKUP(F9,'Match Results'!$A:$N,13,FALSE)))</f>
        <v>2  2  2</v>
      </c>
      <c r="H9" s="84">
        <f>IF($B9=C$5,"-",IF($B9&lt;C$5,VLOOKUP(C9,'Match Results'!$A:$N,12,FALSE),VLOOKUP(C9,'Match Results'!$A:$N,13,FALSE)))+IF($B9=E$5,"-",IF($B9&lt;E$5,VLOOKUP(E9,'Match Results'!$A:$N,12,FALSE),VLOOKUP(E9,'Match Results'!$A:$N,13,FALSE)))+IF($B9=F$5,"-",IF($B9&lt;F$5,VLOOKUP(F9,'Match Results'!$A:$N,12,FALSE),VLOOKUP(F9,'Match Results'!$A:$N,13,FALSE)))</f>
        <v>6</v>
      </c>
    </row>
    <row r="10" spans="1:8" ht="20.100000000000001" customHeight="1" x14ac:dyDescent="0.25">
      <c r="A10" s="76"/>
      <c r="B10" s="81"/>
      <c r="C10" s="56" t="str">
        <f>IF($B9=C$5,"-",IF($B9&lt;C$5,VLOOKUP(C9,'Match Results'!$A:$N,6,FALSE)&amp;" - "&amp;VLOOKUP(C9,'Match Results'!$A:$N,7,FALSE),VLOOKUP(C9,'Match Results'!$A:$N,7,FALSE)&amp;" - "&amp;VLOOKUP(C9,'Match Results'!$A:$N,6,FALSE)))</f>
        <v>21 - 5</v>
      </c>
      <c r="D10" s="79"/>
      <c r="E10" s="56" t="str">
        <f>IF($B9=E$5,"-",IF($B9&lt;E$5,VLOOKUP(E9,'Match Results'!$A:$N,6,FALSE)&amp;" - "&amp;VLOOKUP(E9,'Match Results'!$A:$N,7,FALSE),VLOOKUP(E9,'Match Results'!$A:$N,7,FALSE)&amp;" - "&amp;VLOOKUP(E9,'Match Results'!$A:$N,6,FALSE)))</f>
        <v>21 - 17</v>
      </c>
      <c r="F10" s="56" t="str">
        <f>IF($B9=F$5,"-",IF($B9&lt;F$5,VLOOKUP(F9,'Match Results'!$A:$N,6,FALSE)&amp;" - "&amp;VLOOKUP(F9,'Match Results'!$A:$N,7,FALSE),VLOOKUP(F9,'Match Results'!$A:$N,7,FALSE)&amp;" - "&amp;VLOOKUP(F9,'Match Results'!$A:$N,6,FALSE)))</f>
        <v>21 - 16</v>
      </c>
      <c r="G10" s="88"/>
      <c r="H10" s="85"/>
    </row>
    <row r="11" spans="1:8" ht="20.100000000000001" customHeight="1" x14ac:dyDescent="0.25">
      <c r="A11" s="77" t="str">
        <f>VLOOKUP(B9&amp;$A$4,Players!$C:$H,4,FALSE)&amp;" ("&amp;VLOOKUP(B9&amp;$A$4,Players!$C:$H,5,FALSE)&amp;")"</f>
        <v>Ryan Tai (Dome)</v>
      </c>
      <c r="B11" s="81"/>
      <c r="C11" s="54" t="str">
        <f>IF($B9=C$5,"-",IF($B9&lt;C$5,VLOOKUP(C9,'Match Results'!$A:$N,9,FALSE)&amp;" - "&amp;VLOOKUP(C9,'Match Results'!$A:$N,10,FALSE),VLOOKUP(C9,'Match Results'!$A:$N,10,FALSE)&amp;" - "&amp;VLOOKUP(C9,'Match Results'!$A:$N,9,FALSE)))</f>
        <v>21 - 18</v>
      </c>
      <c r="D11" s="80"/>
      <c r="E11" s="54" t="str">
        <f>IF($B9=E$5,"-",IF($B9&lt;E$5,VLOOKUP(E9,'Match Results'!$A:$N,9,FALSE)&amp;" - "&amp;VLOOKUP(E9,'Match Results'!$A:$N,10,FALSE),VLOOKUP(E9,'Match Results'!$A:$N,10,FALSE)&amp;" - "&amp;VLOOKUP(E9,'Match Results'!$A:$N,9,FALSE)))</f>
        <v>21 - 17</v>
      </c>
      <c r="F11" s="54" t="str">
        <f>IF($B9=F$5,"-",IF($B9&lt;F$5,VLOOKUP(F9,'Match Results'!$A:$N,9,FALSE)&amp;" - "&amp;VLOOKUP(F9,'Match Results'!$A:$N,10,FALSE),VLOOKUP(F9,'Match Results'!$A:$N,10,FALSE)&amp;" - "&amp;VLOOKUP(F9,'Match Results'!$A:$N,9,FALSE)))</f>
        <v>21 - 18</v>
      </c>
      <c r="G11" s="86"/>
      <c r="H11" s="86"/>
    </row>
    <row r="12" spans="1:8" ht="20.100000000000001" customHeight="1" x14ac:dyDescent="0.25">
      <c r="A12" s="75" t="str">
        <f>VLOOKUP(B12&amp;$A$4,Players!$C:$H,2,FALSE)&amp;" ("&amp;VLOOKUP(B12&amp;$A$4,Players!$C:$H,3,FALSE)&amp;")"&amp;CHAR(10)&amp;VLOOKUP(B12&amp;$A$4,Players!$C:$H,4,FALSE)&amp;" ("&amp;VLOOKUP(B12&amp;$A$4,Players!$C:$H,5,FALSE)&amp;")"</f>
        <v>Jetmond Ma (ACE)
Yu Hin Wong (ACE)</v>
      </c>
      <c r="B12" s="81">
        <v>3</v>
      </c>
      <c r="C12" s="55" t="str">
        <f>$A$4&amp;IF($B12=C$5,"-",IF($B12&lt;C$5,VLOOKUP($B12&amp;" v "&amp;C$5,Matches!$B:$K,10,FALSE),VLOOKUP(C$5&amp;" v "&amp;$B12,Matches!$B:$K,10,FALSE)))</f>
        <v>M6</v>
      </c>
      <c r="D12" s="53" t="str">
        <f>$A$4&amp;IF($B12=D$5,"-",IF($B12&lt;D$5,VLOOKUP($B12&amp;" v "&amp;D$5,Matches!$B:$K,10,FALSE),VLOOKUP(D$5&amp;" v "&amp;$B12,Matches!$B:$K,10,FALSE)))</f>
        <v>M3</v>
      </c>
      <c r="E12" s="78" t="s">
        <v>89</v>
      </c>
      <c r="F12" s="53" t="str">
        <f>$A$4&amp;IF($B12=F$5,"-",IF($B12&lt;F$5,VLOOKUP($B12&amp;" v "&amp;F$5,Matches!$B:$K,10,FALSE),VLOOKUP(F$5&amp;" v "&amp;$B12,Matches!$B:$K,10,FALSE)))</f>
        <v>M2</v>
      </c>
      <c r="G12" s="87" t="str">
        <f>IF($B12=C$5,"-",IF($B12&lt;C$5,VLOOKUP(C12,'Match Results'!$A:$N,12,FALSE),VLOOKUP(C12,'Match Results'!$A:$N,13,FALSE)))&amp;"  "&amp;IF($B12=D$5,"-",IF($B12&lt;D$5,VLOOKUP(D12,'Match Results'!$A:$N,12,FALSE),VLOOKUP(D12,'Match Results'!$A:$N,13,FALSE)))&amp;"  "&amp;IF($B12=F$5,"-",IF($B12&lt;F$5,VLOOKUP(F12,'Match Results'!$A:$N,12,FALSE),VLOOKUP(F12,'Match Results'!$A:$N,13,FALSE)))</f>
        <v>1  0  1</v>
      </c>
      <c r="H12" s="84">
        <f>IF($B12=C$5,"-",IF($B12&lt;C$5,VLOOKUP(C12,'Match Results'!$A:$N,12,FALSE),VLOOKUP(C12,'Match Results'!$A:$N,13,FALSE)))+IF($B12=D$5,"-",IF($B12&lt;D$5,VLOOKUP(D12,'Match Results'!$A:$N,12,FALSE),VLOOKUP(D12,'Match Results'!$A:$N,13,FALSE)))+IF($B12=F$5,"-",IF($B12&lt;F$5,VLOOKUP(F12,'Match Results'!$A:$N,12,FALSE),VLOOKUP(F12,'Match Results'!$A:$N,13,FALSE)))</f>
        <v>2</v>
      </c>
    </row>
    <row r="13" spans="1:8" ht="20.100000000000001" customHeight="1" x14ac:dyDescent="0.25">
      <c r="A13" s="76"/>
      <c r="B13" s="81"/>
      <c r="C13" s="56" t="str">
        <f>IF($B12=C$5,"-",IF($B12&lt;C$5,VLOOKUP(C12,'Match Results'!$A:$N,6,FALSE)&amp;" - "&amp;VLOOKUP(C12,'Match Results'!$A:$N,7,FALSE),VLOOKUP(C12,'Match Results'!$A:$N,7,FALSE)&amp;" - "&amp;VLOOKUP(C12,'Match Results'!$A:$N,6,FALSE)))</f>
        <v>21 - 10</v>
      </c>
      <c r="D13" s="56" t="str">
        <f>IF($B12=D$5,"-",IF($B12&lt;D$5,VLOOKUP(D12,'Match Results'!$A:$N,6,FALSE)&amp;" - "&amp;VLOOKUP(D12,'Match Results'!$A:$N,7,FALSE),VLOOKUP(D12,'Match Results'!$A:$N,7,FALSE)&amp;" - "&amp;VLOOKUP(D12,'Match Results'!$A:$N,6,FALSE)))</f>
        <v>17 - 21</v>
      </c>
      <c r="E13" s="79"/>
      <c r="F13" s="56" t="str">
        <f>IF($B12=F$5,"-",IF($B12&lt;F$5,VLOOKUP(F12,'Match Results'!$A:$N,6,FALSE)&amp;" - "&amp;VLOOKUP(F12,'Match Results'!$A:$N,7,FALSE),VLOOKUP(F12,'Match Results'!$A:$N,7,FALSE)&amp;" - "&amp;VLOOKUP(F12,'Match Results'!$A:$N,6,FALSE)))</f>
        <v>21 - 19</v>
      </c>
      <c r="G13" s="88"/>
      <c r="H13" s="85"/>
    </row>
    <row r="14" spans="1:8" ht="20.100000000000001" customHeight="1" x14ac:dyDescent="0.25">
      <c r="A14" s="77"/>
      <c r="B14" s="81"/>
      <c r="C14" s="54" t="str">
        <f>IF($B12=C$5,"-",IF($B12&lt;C$5,VLOOKUP(C12,'Match Results'!$A:$N,9,FALSE)&amp;" - "&amp;VLOOKUP(C12,'Match Results'!$A:$N,10,FALSE),VLOOKUP(C12,'Match Results'!$A:$N,10,FALSE)&amp;" - "&amp;VLOOKUP(C12,'Match Results'!$A:$N,9,FALSE)))</f>
        <v>20 - 21</v>
      </c>
      <c r="D14" s="54" t="str">
        <f>IF($B12=D$5,"-",IF($B12&lt;D$5,VLOOKUP(D12,'Match Results'!$A:$N,9,FALSE)&amp;" - "&amp;VLOOKUP(D12,'Match Results'!$A:$N,10,FALSE),VLOOKUP(D12,'Match Results'!$A:$N,10,FALSE)&amp;" - "&amp;VLOOKUP(D12,'Match Results'!$A:$N,9,FALSE)))</f>
        <v>17 - 21</v>
      </c>
      <c r="E14" s="80"/>
      <c r="F14" s="54" t="str">
        <f>IF($B12=F$5,"-",IF($B12&lt;F$5,VLOOKUP(F12,'Match Results'!$A:$N,9,FALSE)&amp;" - "&amp;VLOOKUP(F12,'Match Results'!$A:$N,10,FALSE),VLOOKUP(F12,'Match Results'!$A:$N,10,FALSE)&amp;" - "&amp;VLOOKUP(F12,'Match Results'!$A:$N,9,FALSE)))</f>
        <v>16 - 21</v>
      </c>
      <c r="G14" s="86"/>
      <c r="H14" s="86"/>
    </row>
    <row r="15" spans="1:8" ht="20.100000000000001" customHeight="1" x14ac:dyDescent="0.25">
      <c r="A15" s="75" t="str">
        <f>VLOOKUP(B15&amp;$A$4,Players!$C:$H,2,FALSE)&amp;" ("&amp;VLOOKUP(B15&amp;$A$4,Players!$C:$H,3,FALSE)&amp;")"&amp;CHAR(10)&amp;VLOOKUP(B15&amp;$A$4,Players!$C:$H,4,FALSE)&amp;" ("&amp;VLOOKUP(B15&amp;$A$4,Players!$C:$H,5,FALSE)&amp;")"</f>
        <v>Ji Qiao (Silver Feather)
Henry Noorveriandi (Silver Feather)</v>
      </c>
      <c r="B15" s="81">
        <v>4</v>
      </c>
      <c r="C15" s="55" t="str">
        <f>$A$4&amp;IF($B15=C$5,"-",IF($B15&lt;C$5,VLOOKUP($B15&amp;" v "&amp;C$5,Matches!$B:$K,10,FALSE),VLOOKUP(C$5&amp;" v "&amp;$B15,Matches!$B:$K,10,FALSE)))</f>
        <v>M4</v>
      </c>
      <c r="D15" s="55" t="str">
        <f>$A$4&amp;IF($B15=D$5,"-",IF($B15&lt;D$5,VLOOKUP($B15&amp;" v "&amp;D$5,Matches!$B:$K,10,FALSE),VLOOKUP(D$5&amp;" v "&amp;$B15,Matches!$B:$K,10,FALSE)))</f>
        <v>M5</v>
      </c>
      <c r="E15" s="53" t="str">
        <f>$A$4&amp;IF($B15=E$5,"-",IF($B15&lt;E$5,VLOOKUP($B15&amp;" v "&amp;E$5,Matches!$B:$K,10,FALSE),VLOOKUP(E$5&amp;" v "&amp;$B15,Matches!$B:$K,10,FALSE)))</f>
        <v>M2</v>
      </c>
      <c r="F15" s="78" t="s">
        <v>89</v>
      </c>
      <c r="G15" s="87" t="str">
        <f>IF($B15=C$5,"-",IF($B15&lt;C$5,VLOOKUP(C15,'Match Results'!$A:$N,12,FALSE),VLOOKUP(C15,'Match Results'!$A:$N,13,FALSE)))&amp;"  "&amp;IF($B15=D$5,"-",IF($B15&lt;D$5,VLOOKUP(D15,'Match Results'!$A:$N,12,FALSE),VLOOKUP(D15,'Match Results'!$A:$N,13,FALSE)))&amp;"  "&amp;IF($B15=E$5,"-",IF($B15&lt;E$5,VLOOKUP(E15,'Match Results'!$A:$N,12,FALSE),VLOOKUP(E15,'Match Results'!$A:$N,13,FALSE)))</f>
        <v>2  0  1</v>
      </c>
      <c r="H15" s="84">
        <f>IF($B15=C$5,"-",IF($B15&lt;C$5,VLOOKUP(C15,'Match Results'!$A:$N,12,FALSE),VLOOKUP(C15,'Match Results'!$A:$N,13,FALSE)))+IF($B15=D$5,"-",IF($B15&lt;D$5,VLOOKUP(D15,'Match Results'!$A:$N,12,FALSE),VLOOKUP(D15,'Match Results'!$A:$N,13,FALSE)))+IF($B15=E$5,"-",IF($B15&lt;E$5,VLOOKUP(E15,'Match Results'!$A:$N,12,FALSE),VLOOKUP(E15,'Match Results'!$A:$N,13,FALSE)))</f>
        <v>3</v>
      </c>
    </row>
    <row r="16" spans="1:8" ht="20.100000000000001" customHeight="1" x14ac:dyDescent="0.25">
      <c r="A16" s="76"/>
      <c r="B16" s="81"/>
      <c r="C16" s="56" t="str">
        <f>IF($B15=C$5,"-",IF($B15&lt;C$5,VLOOKUP(C15,'Match Results'!$A:$N,6,FALSE)&amp;" - "&amp;VLOOKUP(C15,'Match Results'!$A:$N,7,FALSE),VLOOKUP(C15,'Match Results'!$A:$N,7,FALSE)&amp;" - "&amp;VLOOKUP(C15,'Match Results'!$A:$N,6,FALSE)))</f>
        <v>21 - 9</v>
      </c>
      <c r="D16" s="56" t="str">
        <f>IF($B15=D$5,"-",IF($B15&lt;D$5,VLOOKUP(D15,'Match Results'!$A:$N,6,FALSE)&amp;" - "&amp;VLOOKUP(D15,'Match Results'!$A:$N,7,FALSE),VLOOKUP(D15,'Match Results'!$A:$N,7,FALSE)&amp;" - "&amp;VLOOKUP(D15,'Match Results'!$A:$N,6,FALSE)))</f>
        <v>16 - 21</v>
      </c>
      <c r="E16" s="56" t="str">
        <f>IF($B15=E$5,"-",IF($B15&lt;E$5,VLOOKUP(E15,'Match Results'!$A:$N,6,FALSE)&amp;" - "&amp;VLOOKUP(E15,'Match Results'!$A:$N,7,FALSE),VLOOKUP(E15,'Match Results'!$A:$N,7,FALSE)&amp;" - "&amp;VLOOKUP(E15,'Match Results'!$A:$N,6,FALSE)))</f>
        <v>19 - 21</v>
      </c>
      <c r="F16" s="79"/>
      <c r="G16" s="88"/>
      <c r="H16" s="85"/>
    </row>
    <row r="17" spans="1:8" ht="20.100000000000001" customHeight="1" x14ac:dyDescent="0.25">
      <c r="A17" s="77" t="str">
        <f>VLOOKUP(B15&amp;$A$4,Players!$C:$H,4,FALSE)&amp;" ("&amp;VLOOKUP(B15&amp;$A$4,Players!$C:$H,5,FALSE)&amp;")"</f>
        <v>Henry Noorveriandi (Silver Feather)</v>
      </c>
      <c r="B17" s="81"/>
      <c r="C17" s="54" t="str">
        <f>IF($B15=C$5,"-",IF($B15&lt;C$5,VLOOKUP(C15,'Match Results'!$A:$N,9,FALSE)&amp;" - "&amp;VLOOKUP(C15,'Match Results'!$A:$N,10,FALSE),VLOOKUP(C15,'Match Results'!$A:$N,10,FALSE)&amp;" - "&amp;VLOOKUP(C15,'Match Results'!$A:$N,9,FALSE)))</f>
        <v>21 - 9</v>
      </c>
      <c r="D17" s="54" t="str">
        <f>IF($B15=D$5,"-",IF($B15&lt;D$5,VLOOKUP(D15,'Match Results'!$A:$N,9,FALSE)&amp;" - "&amp;VLOOKUP(D15,'Match Results'!$A:$N,10,FALSE),VLOOKUP(D15,'Match Results'!$A:$N,10,FALSE)&amp;" - "&amp;VLOOKUP(D15,'Match Results'!$A:$N,9,FALSE)))</f>
        <v>18 - 21</v>
      </c>
      <c r="E17" s="54" t="str">
        <f>IF($B15=E$5,"-",IF($B15&lt;E$5,VLOOKUP(E15,'Match Results'!$A:$N,9,FALSE)&amp;" - "&amp;VLOOKUP(E15,'Match Results'!$A:$N,10,FALSE),VLOOKUP(E15,'Match Results'!$A:$N,10,FALSE)&amp;" - "&amp;VLOOKUP(E15,'Match Results'!$A:$N,9,FALSE)))</f>
        <v>21 - 16</v>
      </c>
      <c r="F17" s="80"/>
      <c r="G17" s="86"/>
      <c r="H17" s="86"/>
    </row>
  </sheetData>
  <sheetProtection sheet="1" objects="1" scenarios="1"/>
  <mergeCells count="20">
    <mergeCell ref="E12:E14"/>
    <mergeCell ref="F15:F17"/>
    <mergeCell ref="H6:H8"/>
    <mergeCell ref="H9:H11"/>
    <mergeCell ref="H12:H14"/>
    <mergeCell ref="H15:H17"/>
    <mergeCell ref="G6:G8"/>
    <mergeCell ref="G12:G14"/>
    <mergeCell ref="G15:G17"/>
    <mergeCell ref="G9:G11"/>
    <mergeCell ref="A6:A8"/>
    <mergeCell ref="A9:A11"/>
    <mergeCell ref="A12:A14"/>
    <mergeCell ref="A15:A17"/>
    <mergeCell ref="D9:D11"/>
    <mergeCell ref="B12:B14"/>
    <mergeCell ref="B15:B17"/>
    <mergeCell ref="B6:B8"/>
    <mergeCell ref="B9:B11"/>
    <mergeCell ref="C6:C8"/>
  </mergeCells>
  <phoneticPr fontId="14" type="noConversion"/>
  <conditionalFormatting sqref="H6:H17">
    <cfRule type="top10" dxfId="2" priority="2" rank="1"/>
  </conditionalFormatting>
  <pageMargins left="0.78740157480314965" right="0" top="0.59055118110236227" bottom="0" header="0.31496062992125984" footer="0.31496062992125984"/>
  <pageSetup paperSize="9" orientation="landscape" horizontalDpi="300" verticalDpi="300" r:id="rId1"/>
  <ignoredErrors>
    <ignoredError sqref="A11 F10 D12 E7 F7 D15 D13 E13 D16 E16 E12 E14:E1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86E6C-E3E1-4BE2-A823-F1EBE67290AE}">
  <sheetPr codeName="Sheet6">
    <pageSetUpPr fitToPage="1"/>
  </sheetPr>
  <dimension ref="A1:H17"/>
  <sheetViews>
    <sheetView zoomScale="115" zoomScaleNormal="115" workbookViewId="0"/>
  </sheetViews>
  <sheetFormatPr defaultRowHeight="15" x14ac:dyDescent="0.25"/>
  <cols>
    <col min="1" max="1" width="52.7109375" style="1" customWidth="1"/>
    <col min="2" max="2" width="8.7109375" style="1" customWidth="1"/>
    <col min="3" max="3" width="12.7109375" style="1" customWidth="1"/>
    <col min="4" max="8" width="12.7109375" style="2" customWidth="1"/>
    <col min="9" max="16384" width="9.140625" style="23"/>
  </cols>
  <sheetData>
    <row r="1" spans="1:8" s="26" customFormat="1" ht="30" customHeight="1" x14ac:dyDescent="0.35">
      <c r="A1" s="39" t="s">
        <v>133</v>
      </c>
      <c r="B1"/>
      <c r="C1"/>
      <c r="D1"/>
      <c r="E1"/>
      <c r="F1"/>
      <c r="G1"/>
      <c r="H1"/>
    </row>
    <row r="3" spans="1:8" ht="20.100000000000001" customHeight="1" x14ac:dyDescent="0.25">
      <c r="A3" s="3" t="s">
        <v>7</v>
      </c>
      <c r="B3" s="43"/>
      <c r="C3" s="43"/>
      <c r="D3" s="43"/>
      <c r="E3" s="43"/>
      <c r="F3" s="43"/>
      <c r="G3" s="43"/>
    </row>
    <row r="4" spans="1:8" x14ac:dyDescent="0.25">
      <c r="A4" s="42" t="s">
        <v>54</v>
      </c>
    </row>
    <row r="5" spans="1:8" ht="32.1" customHeight="1" x14ac:dyDescent="0.25">
      <c r="A5" s="18" t="s">
        <v>86</v>
      </c>
      <c r="B5" s="4" t="s">
        <v>85</v>
      </c>
      <c r="C5" s="52">
        <v>1</v>
      </c>
      <c r="D5" s="52">
        <v>2</v>
      </c>
      <c r="E5" s="52">
        <v>3</v>
      </c>
      <c r="F5" s="52">
        <v>4</v>
      </c>
      <c r="G5" s="4" t="s">
        <v>32</v>
      </c>
      <c r="H5" s="4" t="s">
        <v>49</v>
      </c>
    </row>
    <row r="6" spans="1:8" ht="20.100000000000001" customHeight="1" x14ac:dyDescent="0.25">
      <c r="A6" s="75" t="str">
        <f>VLOOKUP(B6&amp;$A$4,Players!$C:$H,2,FALSE)&amp;" ("&amp;VLOOKUP(B6&amp;$A$4,Players!$C:$H,3,FALSE)&amp;")"&amp;CHAR(10)&amp;VLOOKUP(B6&amp;$A$4,Players!$C:$H,4,FALSE)&amp;" ("&amp;VLOOKUP(B6&amp;$A$4,Players!$C:$H,5,FALSE)&amp;")"</f>
        <v>Catriona Golds (Manchester Edgeley)
Rachel Flood (Manchester Edgeley)</v>
      </c>
      <c r="B6" s="82">
        <v>1</v>
      </c>
      <c r="C6" s="83" t="s">
        <v>89</v>
      </c>
      <c r="D6" s="53" t="str">
        <f>$A$4&amp;IF($B6=D$5,"-",IF($B6&lt;D$5,VLOOKUP($B6&amp;" v "&amp;D$5,Matches!$B:$K,10,FALSE),VLOOKUP(D$5&amp;" v "&amp;$B6,Matches!$B:$K,10,FALSE)))</f>
        <v>L1</v>
      </c>
      <c r="E6" s="53" t="str">
        <f>$A$4&amp;IF($B6=E$5,"-",IF($B6&lt;E$5,VLOOKUP($B6&amp;" v "&amp;E$5,Matches!$B:$K,10,FALSE),VLOOKUP(E$5&amp;" v "&amp;$B6,Matches!$B:$K,10,FALSE)))</f>
        <v>L6</v>
      </c>
      <c r="F6" s="53" t="str">
        <f>$A$4&amp;IF($B6=F$5,"-",IF($B6&lt;F$5,VLOOKUP($B6&amp;" v "&amp;F$5,Matches!$B:$K,10,FALSE),VLOOKUP(F$5&amp;" v "&amp;$B6,Matches!$B:$K,10,FALSE)))</f>
        <v>L4</v>
      </c>
      <c r="G6" s="87" t="str">
        <f>IF($B6=D$5,"-",IF($B6&lt;D$5,VLOOKUP(D6,'Match Results'!$A:$N,12,FALSE),VLOOKUP(D6,'Match Results'!$A:$N,13,FALSE)))&amp;"  "&amp;IF($B6=E$5,"-",IF($B6&lt;E$5,VLOOKUP(E6,'Match Results'!$A:$N,12,FALSE),VLOOKUP(E6,'Match Results'!$A:$N,13,FALSE)))&amp;"  "&amp;IF($B6=F$5,"-",IF($B6&lt;F$5,VLOOKUP(F6,'Match Results'!$A:$N,12,FALSE),VLOOKUP(F6,'Match Results'!$A:$N,13,FALSE)))</f>
        <v>2  2  1</v>
      </c>
      <c r="H6" s="84">
        <f>IF($B6=D$5,"-",IF($B6&lt;D$5,VLOOKUP(D6,'Match Results'!$A:$N,12,FALSE),VLOOKUP(D6,'Match Results'!$A:$N,13,FALSE)))+IF($B6=E$5,"-",IF($B6&lt;E$5,VLOOKUP(E6,'Match Results'!$A:$N,12,FALSE),VLOOKUP(E6,'Match Results'!$A:$N,13,FALSE)))+IF($B6=F$5,"-",IF($B6&lt;F$5,VLOOKUP(F6,'Match Results'!$A:$N,12,FALSE),VLOOKUP(F6,'Match Results'!$A:$N,13,FALSE)))</f>
        <v>5</v>
      </c>
    </row>
    <row r="7" spans="1:8" ht="20.100000000000001" customHeight="1" x14ac:dyDescent="0.25">
      <c r="A7" s="76"/>
      <c r="B7" s="82"/>
      <c r="C7" s="79"/>
      <c r="D7" s="56" t="str">
        <f>IF($B6=D$5,"-",IF($B6&lt;D$5,VLOOKUP(D6,'Match Results'!$A:$N,6,FALSE)&amp;" - "&amp;VLOOKUP(D6,'Match Results'!$A:$N,7,FALSE),VLOOKUP(D6,'Match Results'!$A:$N,7,FALSE)&amp;" - "&amp;" - "&amp;VLOOKUP(D6,'Match Results'!$A:$N,6,FALSE)))</f>
        <v>21 - 15</v>
      </c>
      <c r="E7" s="56" t="str">
        <f>IF($B6=E$5,"-",IF($B6&lt;E$5,VLOOKUP(E6,'Match Results'!$A:$N,6,FALSE)&amp;" - "&amp;VLOOKUP(E6,'Match Results'!$A:$N,7,FALSE),VLOOKUP(E6,'Match Results'!$A:$N,7,FALSE)&amp;" - "&amp;" - "&amp;VLOOKUP(E6,'Match Results'!$A:$N,6,FALSE)))</f>
        <v>21 - 19</v>
      </c>
      <c r="F7" s="56" t="str">
        <f>IF($B6=F$5,"-",IF($B6&lt;F$5,VLOOKUP(F6,'Match Results'!$A:$N,6,FALSE)&amp;" - "&amp;VLOOKUP(F6,'Match Results'!$A:$N,7,FALSE),VLOOKUP(F6,'Match Results'!$A:$N,7,FALSE)&amp;" - "&amp;" - "&amp;VLOOKUP(F6,'Match Results'!$A:$N,6,FALSE)))</f>
        <v>9 - 21</v>
      </c>
      <c r="G7" s="88"/>
      <c r="H7" s="85"/>
    </row>
    <row r="8" spans="1:8" ht="20.100000000000001" customHeight="1" x14ac:dyDescent="0.25">
      <c r="A8" s="77"/>
      <c r="B8" s="82"/>
      <c r="C8" s="80"/>
      <c r="D8" s="54" t="str">
        <f>IF($B6=D$5,"-",IF($B6&lt;D$5,VLOOKUP(D6,'Match Results'!$A:$N,9,FALSE)&amp;" - "&amp;VLOOKUP(D6,'Match Results'!$A:$N,10,FALSE),VLOOKUP(D6,'Match Results'!$A:$N,10,FALSE)&amp;" - "&amp;" - "&amp;VLOOKUP(D6,'Match Results'!$A:$N,9,FALSE)))</f>
        <v>21 - 15</v>
      </c>
      <c r="E8" s="54" t="str">
        <f>IF($B6=E$5,"-",IF($B6&lt;E$5,VLOOKUP(E6,'Match Results'!$A:$N,9,FALSE)&amp;" - "&amp;VLOOKUP(E6,'Match Results'!$A:$N,10,FALSE),VLOOKUP(E6,'Match Results'!$A:$N,10,FALSE)&amp;" - "&amp;" - "&amp;VLOOKUP(E6,'Match Results'!$A:$N,9,FALSE)))</f>
        <v>21 - 19</v>
      </c>
      <c r="F8" s="54" t="str">
        <f>IF($B6=F$5,"-",IF($B6&lt;F$5,VLOOKUP(F6,'Match Results'!$A:$N,9,FALSE)&amp;" - "&amp;VLOOKUP(F6,'Match Results'!$A:$N,10,FALSE),VLOOKUP(F6,'Match Results'!$A:$N,10,FALSE)&amp;" - "&amp;" - "&amp;VLOOKUP(F6,'Match Results'!$A:$N,9,FALSE)))</f>
        <v>21 - 18</v>
      </c>
      <c r="G8" s="86"/>
      <c r="H8" s="86"/>
    </row>
    <row r="9" spans="1:8" ht="20.100000000000001" customHeight="1" x14ac:dyDescent="0.25">
      <c r="A9" s="75" t="str">
        <f>VLOOKUP(B9&amp;$A$4,Players!$C:$H,2,FALSE)&amp;" ("&amp;VLOOKUP(B9&amp;$A$4,Players!$C:$H,3,FALSE)&amp;")"&amp;CHAR(10)&amp;VLOOKUP(B9&amp;$A$4,Players!$C:$H,4,FALSE)&amp;" ("&amp;VLOOKUP(B9&amp;$A$4,Players!$C:$H,5,FALSE)&amp;")"</f>
        <v>Araadhna Singh (Forest)
Hannah Burke (Medlock)</v>
      </c>
      <c r="B9" s="81">
        <v>2</v>
      </c>
      <c r="C9" s="53" t="str">
        <f>$A$4&amp;IF($B9=C$5,"-",IF($B9&lt;C$5,VLOOKUP($B9&amp;" v "&amp;C$5,Matches!$B:$K,10,FALSE),VLOOKUP(C$5&amp;" v "&amp;$B9,Matches!$B:$K,10,FALSE)))</f>
        <v>L1</v>
      </c>
      <c r="D9" s="78" t="s">
        <v>89</v>
      </c>
      <c r="E9" s="55" t="str">
        <f>$A$4&amp;IF($B9=E$5,"-",IF($B9&lt;E$5,VLOOKUP($B9&amp;" v "&amp;E$5,Matches!$B:$K,10,FALSE),VLOOKUP(E$5&amp;" v "&amp;$B9,Matches!$B:$K,10,FALSE)))</f>
        <v>L3</v>
      </c>
      <c r="F9" s="53" t="str">
        <f>$A$4&amp;IF($B9=F$5,"-",IF($B9&lt;F$5,VLOOKUP($B9&amp;" v "&amp;F$5,Matches!$B:$K,10,FALSE),VLOOKUP(F$5&amp;" v "&amp;$B9,Matches!$B:$K,10,FALSE)))</f>
        <v>L5</v>
      </c>
      <c r="G9" s="87" t="str">
        <f>IF($B9=C$5,"-",IF($B9&lt;C$5,VLOOKUP(C9,'Match Results'!$A:$N,12,FALSE),VLOOKUP(C9,'Match Results'!$A:$N,13,FALSE)))&amp;"  "&amp;IF($B9=E$5,"-",IF($B9&lt;E$5,VLOOKUP(E9,'Match Results'!$A:$N,12,FALSE),VLOOKUP(E9,'Match Results'!$A:$N,13,FALSE)))&amp;"  "&amp;IF($B9=F$5,"-",IF($B9&lt;F$5,VLOOKUP(F9,'Match Results'!$A:$N,12,FALSE),VLOOKUP(F9,'Match Results'!$A:$N,13,FALSE)))</f>
        <v>0  0  1</v>
      </c>
      <c r="H9" s="84">
        <f>IF($B9=C$5,"-",IF($B9&lt;C$5,VLOOKUP(C9,'Match Results'!$A:$N,12,FALSE),VLOOKUP(C9,'Match Results'!$A:$N,13,FALSE)))+IF($B9=E$5,"-",IF($B9&lt;E$5,VLOOKUP(E9,'Match Results'!$A:$N,12,FALSE),VLOOKUP(E9,'Match Results'!$A:$N,13,FALSE)))+IF($B9=F$5,"-",IF($B9&lt;F$5,VLOOKUP(F9,'Match Results'!$A:$N,12,FALSE),VLOOKUP(F9,'Match Results'!$A:$N,13,FALSE)))</f>
        <v>1</v>
      </c>
    </row>
    <row r="10" spans="1:8" ht="20.100000000000001" customHeight="1" x14ac:dyDescent="0.25">
      <c r="A10" s="76"/>
      <c r="B10" s="81"/>
      <c r="C10" s="56" t="str">
        <f>IF($B9=C$5,"-",IF($B9&lt;C$5,VLOOKUP(C9,'Match Results'!$A:$N,6,FALSE)&amp;" - "&amp;VLOOKUP(C9,'Match Results'!$A:$N,7,FALSE),VLOOKUP(C9,'Match Results'!$A:$N,7,FALSE)&amp;" - "&amp;VLOOKUP(C9,'Match Results'!$A:$N,6,FALSE)))</f>
        <v>15 - 21</v>
      </c>
      <c r="D10" s="79"/>
      <c r="E10" s="56" t="str">
        <f>IF($B9=E$5,"-",IF($B9&lt;E$5,VLOOKUP(E9,'Match Results'!$A:$N,6,FALSE)&amp;" - "&amp;VLOOKUP(E9,'Match Results'!$A:$N,7,FALSE),VLOOKUP(E9,'Match Results'!$A:$N,7,FALSE)&amp;" - "&amp;VLOOKUP(E9,'Match Results'!$A:$N,6,FALSE)))</f>
        <v>16 - 21</v>
      </c>
      <c r="F10" s="56" t="str">
        <f>IF($B9=F$5,"-",IF($B9&lt;F$5,VLOOKUP(F9,'Match Results'!$A:$N,6,FALSE)&amp;" - "&amp;VLOOKUP(F9,'Match Results'!$A:$N,7,FALSE),VLOOKUP(F9,'Match Results'!$A:$N,7,FALSE)&amp;" - "&amp;VLOOKUP(F9,'Match Results'!$A:$N,6,FALSE)))</f>
        <v>21 - 20</v>
      </c>
      <c r="G10" s="88"/>
      <c r="H10" s="85"/>
    </row>
    <row r="11" spans="1:8" ht="20.100000000000001" customHeight="1" x14ac:dyDescent="0.25">
      <c r="A11" s="77" t="str">
        <f>VLOOKUP(B9&amp;$A$4,Players!$C:$H,4,FALSE)&amp;" ("&amp;VLOOKUP(B9&amp;$A$4,Players!$C:$H,5,FALSE)&amp;")"</f>
        <v>Hannah Burke (Medlock)</v>
      </c>
      <c r="B11" s="81"/>
      <c r="C11" s="54" t="str">
        <f>IF($B9=C$5,"-",IF($B9&lt;C$5,VLOOKUP(C9,'Match Results'!$A:$N,9,FALSE)&amp;" - "&amp;VLOOKUP(C9,'Match Results'!$A:$N,10,FALSE),VLOOKUP(C9,'Match Results'!$A:$N,10,FALSE)&amp;" - "&amp;VLOOKUP(C9,'Match Results'!$A:$N,9,FALSE)))</f>
        <v>15 - 21</v>
      </c>
      <c r="D11" s="80"/>
      <c r="E11" s="54" t="str">
        <f>IF($B9=E$5,"-",IF($B9&lt;E$5,VLOOKUP(E9,'Match Results'!$A:$N,9,FALSE)&amp;" - "&amp;VLOOKUP(E9,'Match Results'!$A:$N,10,FALSE),VLOOKUP(E9,'Match Results'!$A:$N,10,FALSE)&amp;" - "&amp;VLOOKUP(E9,'Match Results'!$A:$N,9,FALSE)))</f>
        <v>9 - 21</v>
      </c>
      <c r="F11" s="54" t="str">
        <f>IF($B9=F$5,"-",IF($B9&lt;F$5,VLOOKUP(F9,'Match Results'!$A:$N,9,FALSE)&amp;" - "&amp;VLOOKUP(F9,'Match Results'!$A:$N,10,FALSE),VLOOKUP(F9,'Match Results'!$A:$N,10,FALSE)&amp;" - "&amp;VLOOKUP(F9,'Match Results'!$A:$N,9,FALSE)))</f>
        <v>20 - 21</v>
      </c>
      <c r="G11" s="86"/>
      <c r="H11" s="86"/>
    </row>
    <row r="12" spans="1:8" ht="20.100000000000001" customHeight="1" x14ac:dyDescent="0.25">
      <c r="A12" s="75" t="str">
        <f>VLOOKUP(B12&amp;$A$4,Players!$C:$H,2,FALSE)&amp;" ("&amp;VLOOKUP(B12&amp;$A$4,Players!$C:$H,3,FALSE)&amp;")"&amp;CHAR(10)&amp;VLOOKUP(B12&amp;$A$4,Players!$C:$H,4,FALSE)&amp;" ("&amp;VLOOKUP(B12&amp;$A$4,Players!$C:$H,5,FALSE)&amp;")"</f>
        <v>Hema Mistry (Medlock)
Katie Donegan (Medlock)</v>
      </c>
      <c r="B12" s="81">
        <v>3</v>
      </c>
      <c r="C12" s="55" t="str">
        <f>$A$4&amp;IF($B12=C$5,"-",IF($B12&lt;C$5,VLOOKUP($B12&amp;" v "&amp;C$5,Matches!$B:$K,10,FALSE),VLOOKUP(C$5&amp;" v "&amp;$B12,Matches!$B:$K,10,FALSE)))</f>
        <v>L6</v>
      </c>
      <c r="D12" s="53" t="str">
        <f>$A$4&amp;IF($B12=D$5,"-",IF($B12&lt;D$5,VLOOKUP($B12&amp;" v "&amp;D$5,Matches!$B:$K,10,FALSE),VLOOKUP(D$5&amp;" v "&amp;$B12,Matches!$B:$K,10,FALSE)))</f>
        <v>L3</v>
      </c>
      <c r="E12" s="78" t="s">
        <v>89</v>
      </c>
      <c r="F12" s="53" t="str">
        <f>$A$4&amp;IF($B12=F$5,"-",IF($B12&lt;F$5,VLOOKUP($B12&amp;" v "&amp;F$5,Matches!$B:$K,10,FALSE),VLOOKUP(F$5&amp;" v "&amp;$B12,Matches!$B:$K,10,FALSE)))</f>
        <v>L2</v>
      </c>
      <c r="G12" s="87" t="str">
        <f>IF($B12=C$5,"-",IF($B12&lt;C$5,VLOOKUP(C12,'Match Results'!$A:$N,12,FALSE),VLOOKUP(C12,'Match Results'!$A:$N,13,FALSE)))&amp;"  "&amp;IF($B12=D$5,"-",IF($B12&lt;D$5,VLOOKUP(D12,'Match Results'!$A:$N,12,FALSE),VLOOKUP(D12,'Match Results'!$A:$N,13,FALSE)))&amp;"  "&amp;IF($B12=F$5,"-",IF($B12&lt;F$5,VLOOKUP(F12,'Match Results'!$A:$N,12,FALSE),VLOOKUP(F12,'Match Results'!$A:$N,13,FALSE)))</f>
        <v>0  2  1</v>
      </c>
      <c r="H12" s="84">
        <f>IF($B12=C$5,"-",IF($B12&lt;C$5,VLOOKUP(C12,'Match Results'!$A:$N,12,FALSE),VLOOKUP(C12,'Match Results'!$A:$N,13,FALSE)))+IF($B12=D$5,"-",IF($B12&lt;D$5,VLOOKUP(D12,'Match Results'!$A:$N,12,FALSE),VLOOKUP(D12,'Match Results'!$A:$N,13,FALSE)))+IF($B12=F$5,"-",IF($B12&lt;F$5,VLOOKUP(F12,'Match Results'!$A:$N,12,FALSE),VLOOKUP(F12,'Match Results'!$A:$N,13,FALSE)))</f>
        <v>3</v>
      </c>
    </row>
    <row r="13" spans="1:8" ht="20.100000000000001" customHeight="1" x14ac:dyDescent="0.25">
      <c r="A13" s="76"/>
      <c r="B13" s="81"/>
      <c r="C13" s="56" t="str">
        <f>IF($B12=C$5,"-",IF($B12&lt;C$5,VLOOKUP(C12,'Match Results'!$A:$N,6,FALSE)&amp;" - "&amp;VLOOKUP(C12,'Match Results'!$A:$N,7,FALSE),VLOOKUP(C12,'Match Results'!$A:$N,7,FALSE)&amp;" - "&amp;VLOOKUP(C12,'Match Results'!$A:$N,6,FALSE)))</f>
        <v>19 - 21</v>
      </c>
      <c r="D13" s="56" t="str">
        <f>IF($B12=D$5,"-",IF($B12&lt;D$5,VLOOKUP(D12,'Match Results'!$A:$N,6,FALSE)&amp;" - "&amp;VLOOKUP(D12,'Match Results'!$A:$N,7,FALSE),VLOOKUP(D12,'Match Results'!$A:$N,7,FALSE)&amp;" - "&amp;VLOOKUP(D12,'Match Results'!$A:$N,6,FALSE)))</f>
        <v>21 - 16</v>
      </c>
      <c r="E13" s="79"/>
      <c r="F13" s="56" t="str">
        <f>IF($B12=F$5,"-",IF($B12&lt;F$5,VLOOKUP(F12,'Match Results'!$A:$N,6,FALSE)&amp;" - "&amp;VLOOKUP(F12,'Match Results'!$A:$N,7,FALSE),VLOOKUP(F12,'Match Results'!$A:$N,7,FALSE)&amp;" - "&amp;VLOOKUP(F12,'Match Results'!$A:$N,6,FALSE)))</f>
        <v>21 - 18</v>
      </c>
      <c r="G13" s="88"/>
      <c r="H13" s="85"/>
    </row>
    <row r="14" spans="1:8" ht="20.100000000000001" customHeight="1" x14ac:dyDescent="0.25">
      <c r="A14" s="77"/>
      <c r="B14" s="81"/>
      <c r="C14" s="54" t="str">
        <f>IF($B12=C$5,"-",IF($B12&lt;C$5,VLOOKUP(C12,'Match Results'!$A:$N,9,FALSE)&amp;" - "&amp;VLOOKUP(C12,'Match Results'!$A:$N,10,FALSE),VLOOKUP(C12,'Match Results'!$A:$N,10,FALSE)&amp;" - "&amp;VLOOKUP(C12,'Match Results'!$A:$N,9,FALSE)))</f>
        <v>19 - 21</v>
      </c>
      <c r="D14" s="54" t="str">
        <f>IF($B12=D$5,"-",IF($B12&lt;D$5,VLOOKUP(D12,'Match Results'!$A:$N,9,FALSE)&amp;" - "&amp;VLOOKUP(D12,'Match Results'!$A:$N,10,FALSE),VLOOKUP(D12,'Match Results'!$A:$N,10,FALSE)&amp;" - "&amp;VLOOKUP(D12,'Match Results'!$A:$N,9,FALSE)))</f>
        <v>21 - 9</v>
      </c>
      <c r="E14" s="80"/>
      <c r="F14" s="54" t="str">
        <f>IF($B12=F$5,"-",IF($B12&lt;F$5,VLOOKUP(F12,'Match Results'!$A:$N,9,FALSE)&amp;" - "&amp;VLOOKUP(F12,'Match Results'!$A:$N,10,FALSE),VLOOKUP(F12,'Match Results'!$A:$N,10,FALSE)&amp;" - "&amp;VLOOKUP(F12,'Match Results'!$A:$N,9,FALSE)))</f>
        <v>18 - 21</v>
      </c>
      <c r="G14" s="86"/>
      <c r="H14" s="86"/>
    </row>
    <row r="15" spans="1:8" ht="20.100000000000001" customHeight="1" x14ac:dyDescent="0.25">
      <c r="A15" s="75" t="str">
        <f>VLOOKUP(B15&amp;$A$4,Players!$C:$H,2,FALSE)&amp;" ("&amp;VLOOKUP(B15&amp;$A$4,Players!$C:$H,3,FALSE)&amp;")"&amp;CHAR(10)&amp;VLOOKUP(B15&amp;$A$4,Players!$C:$H,4,FALSE)&amp;" ("&amp;VLOOKUP(B15&amp;$A$4,Players!$C:$H,5,FALSE)&amp;")"</f>
        <v>Anne Tang (Nettles)
Stephanie Wyatt (Nettles)</v>
      </c>
      <c r="B15" s="81">
        <v>4</v>
      </c>
      <c r="C15" s="55" t="str">
        <f>$A$4&amp;IF($B15=C$5,"-",IF($B15&lt;C$5,VLOOKUP($B15&amp;" v "&amp;C$5,Matches!$B:$K,10,FALSE),VLOOKUP(C$5&amp;" v "&amp;$B15,Matches!$B:$K,10,FALSE)))</f>
        <v>L4</v>
      </c>
      <c r="D15" s="55" t="str">
        <f>$A$4&amp;IF($B15=D$5,"-",IF($B15&lt;D$5,VLOOKUP($B15&amp;" v "&amp;D$5,Matches!$B:$K,10,FALSE),VLOOKUP(D$5&amp;" v "&amp;$B15,Matches!$B:$K,10,FALSE)))</f>
        <v>L5</v>
      </c>
      <c r="E15" s="53" t="str">
        <f>$A$4&amp;IF($B15=E$5,"-",IF($B15&lt;E$5,VLOOKUP($B15&amp;" v "&amp;E$5,Matches!$B:$K,10,FALSE),VLOOKUP(E$5&amp;" v "&amp;$B15,Matches!$B:$K,10,FALSE)))</f>
        <v>L2</v>
      </c>
      <c r="F15" s="78" t="s">
        <v>89</v>
      </c>
      <c r="G15" s="87" t="str">
        <f>IF($B15=C$5,"-",IF($B15&lt;C$5,VLOOKUP(C15,'Match Results'!$A:$N,12,FALSE),VLOOKUP(C15,'Match Results'!$A:$N,13,FALSE)))&amp;"  "&amp;IF($B15=D$5,"-",IF($B15&lt;D$5,VLOOKUP(D15,'Match Results'!$A:$N,12,FALSE),VLOOKUP(D15,'Match Results'!$A:$N,13,FALSE)))&amp;"  "&amp;IF($B15=E$5,"-",IF($B15&lt;E$5,VLOOKUP(E15,'Match Results'!$A:$N,12,FALSE),VLOOKUP(E15,'Match Results'!$A:$N,13,FALSE)))</f>
        <v>1  1  1</v>
      </c>
      <c r="H15" s="84">
        <f>IF($B15=C$5,"-",IF($B15&lt;C$5,VLOOKUP(C15,'Match Results'!$A:$N,12,FALSE),VLOOKUP(C15,'Match Results'!$A:$N,13,FALSE)))+IF($B15=D$5,"-",IF($B15&lt;D$5,VLOOKUP(D15,'Match Results'!$A:$N,12,FALSE),VLOOKUP(D15,'Match Results'!$A:$N,13,FALSE)))+IF($B15=E$5,"-",IF($B15&lt;E$5,VLOOKUP(E15,'Match Results'!$A:$N,12,FALSE),VLOOKUP(E15,'Match Results'!$A:$N,13,FALSE)))</f>
        <v>3</v>
      </c>
    </row>
    <row r="16" spans="1:8" ht="20.100000000000001" customHeight="1" x14ac:dyDescent="0.25">
      <c r="A16" s="76"/>
      <c r="B16" s="81"/>
      <c r="C16" s="56" t="str">
        <f>IF($B15=C$5,"-",IF($B15&lt;C$5,VLOOKUP(C15,'Match Results'!$A:$N,6,FALSE)&amp;" - "&amp;VLOOKUP(C15,'Match Results'!$A:$N,7,FALSE),VLOOKUP(C15,'Match Results'!$A:$N,7,FALSE)&amp;" - "&amp;VLOOKUP(C15,'Match Results'!$A:$N,6,FALSE)))</f>
        <v>21 - 9</v>
      </c>
      <c r="D16" s="56" t="str">
        <f>IF($B15=D$5,"-",IF($B15&lt;D$5,VLOOKUP(D15,'Match Results'!$A:$N,6,FALSE)&amp;" - "&amp;VLOOKUP(D15,'Match Results'!$A:$N,7,FALSE),VLOOKUP(D15,'Match Results'!$A:$N,7,FALSE)&amp;" - "&amp;VLOOKUP(D15,'Match Results'!$A:$N,6,FALSE)))</f>
        <v>20 - 21</v>
      </c>
      <c r="E16" s="56" t="str">
        <f>IF($B15=E$5,"-",IF($B15&lt;E$5,VLOOKUP(E15,'Match Results'!$A:$N,6,FALSE)&amp;" - "&amp;VLOOKUP(E15,'Match Results'!$A:$N,7,FALSE),VLOOKUP(E15,'Match Results'!$A:$N,7,FALSE)&amp;" - "&amp;VLOOKUP(E15,'Match Results'!$A:$N,6,FALSE)))</f>
        <v>18 - 21</v>
      </c>
      <c r="F16" s="79"/>
      <c r="G16" s="88"/>
      <c r="H16" s="85"/>
    </row>
    <row r="17" spans="1:8" ht="20.100000000000001" customHeight="1" x14ac:dyDescent="0.25">
      <c r="A17" s="77" t="str">
        <f>VLOOKUP(B15&amp;$A$4,Players!$C:$H,4,FALSE)&amp;" ("&amp;VLOOKUP(B15&amp;$A$4,Players!$C:$H,5,FALSE)&amp;")"</f>
        <v>Stephanie Wyatt (Nettles)</v>
      </c>
      <c r="B17" s="81"/>
      <c r="C17" s="54" t="str">
        <f>IF($B15=C$5,"-",IF($B15&lt;C$5,VLOOKUP(C15,'Match Results'!$A:$N,9,FALSE)&amp;" - "&amp;VLOOKUP(C15,'Match Results'!$A:$N,10,FALSE),VLOOKUP(C15,'Match Results'!$A:$N,10,FALSE)&amp;" - "&amp;VLOOKUP(C15,'Match Results'!$A:$N,9,FALSE)))</f>
        <v>18 - 21</v>
      </c>
      <c r="D17" s="54" t="str">
        <f>IF($B15=D$5,"-",IF($B15&lt;D$5,VLOOKUP(D15,'Match Results'!$A:$N,9,FALSE)&amp;" - "&amp;VLOOKUP(D15,'Match Results'!$A:$N,10,FALSE),VLOOKUP(D15,'Match Results'!$A:$N,10,FALSE)&amp;" - "&amp;VLOOKUP(D15,'Match Results'!$A:$N,9,FALSE)))</f>
        <v>21 - 20</v>
      </c>
      <c r="E17" s="54" t="str">
        <f>IF($B15=E$5,"-",IF($B15&lt;E$5,VLOOKUP(E15,'Match Results'!$A:$N,9,FALSE)&amp;" - "&amp;VLOOKUP(E15,'Match Results'!$A:$N,10,FALSE),VLOOKUP(E15,'Match Results'!$A:$N,10,FALSE)&amp;" - "&amp;VLOOKUP(E15,'Match Results'!$A:$N,9,FALSE)))</f>
        <v>21 - 18</v>
      </c>
      <c r="F17" s="80"/>
      <c r="G17" s="86"/>
      <c r="H17" s="86"/>
    </row>
  </sheetData>
  <sheetProtection sheet="1" objects="1" scenarios="1"/>
  <mergeCells count="20">
    <mergeCell ref="A9:A11"/>
    <mergeCell ref="B9:B11"/>
    <mergeCell ref="D9:D11"/>
    <mergeCell ref="G9:G11"/>
    <mergeCell ref="H9:H11"/>
    <mergeCell ref="A6:A8"/>
    <mergeCell ref="B6:B8"/>
    <mergeCell ref="C6:C8"/>
    <mergeCell ref="G6:G8"/>
    <mergeCell ref="H6:H8"/>
    <mergeCell ref="A12:A14"/>
    <mergeCell ref="B12:B14"/>
    <mergeCell ref="E12:E14"/>
    <mergeCell ref="G12:G14"/>
    <mergeCell ref="H12:H14"/>
    <mergeCell ref="A15:A17"/>
    <mergeCell ref="B15:B17"/>
    <mergeCell ref="F15:F17"/>
    <mergeCell ref="G15:G17"/>
    <mergeCell ref="H15:H17"/>
  </mergeCells>
  <conditionalFormatting sqref="H6:H17">
    <cfRule type="top10" dxfId="1" priority="1" rank="1"/>
  </conditionalFormatting>
  <pageMargins left="0.78740157480314965" right="0" top="0.59055118110236227" bottom="0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AACAD-2ECF-448D-872D-885F4B26ECF0}">
  <sheetPr codeName="Sheet7">
    <pageSetUpPr fitToPage="1"/>
  </sheetPr>
  <dimension ref="A1:L29"/>
  <sheetViews>
    <sheetView zoomScale="115" zoomScaleNormal="115" workbookViewId="0"/>
  </sheetViews>
  <sheetFormatPr defaultRowHeight="15" x14ac:dyDescent="0.25"/>
  <cols>
    <col min="1" max="1" width="52.7109375" style="1" customWidth="1"/>
    <col min="2" max="2" width="8.7109375" style="1" customWidth="1"/>
    <col min="3" max="3" width="12.7109375" style="1" customWidth="1"/>
    <col min="4" max="6" width="12.7109375" style="2" customWidth="1"/>
    <col min="7" max="7" width="12.7109375" style="1" customWidth="1"/>
    <col min="8" max="12" width="12.7109375" style="2" customWidth="1"/>
    <col min="13" max="16384" width="9.140625" style="23"/>
  </cols>
  <sheetData>
    <row r="1" spans="1:12" s="26" customFormat="1" ht="30" customHeight="1" x14ac:dyDescent="0.35">
      <c r="A1" s="39" t="s">
        <v>133</v>
      </c>
      <c r="B1"/>
      <c r="C1"/>
      <c r="D1"/>
      <c r="E1"/>
      <c r="F1"/>
      <c r="G1"/>
      <c r="H1"/>
      <c r="I1"/>
      <c r="J1"/>
      <c r="K1"/>
      <c r="L1"/>
    </row>
    <row r="3" spans="1:12" ht="20.100000000000001" customHeight="1" x14ac:dyDescent="0.25">
      <c r="A3" s="3" t="s">
        <v>8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2" x14ac:dyDescent="0.25">
      <c r="A4" s="42" t="s">
        <v>56</v>
      </c>
    </row>
    <row r="5" spans="1:12" ht="32.1" customHeight="1" x14ac:dyDescent="0.25">
      <c r="A5" s="18" t="s">
        <v>86</v>
      </c>
      <c r="B5" s="4" t="s">
        <v>85</v>
      </c>
      <c r="C5" s="52" t="s">
        <v>0</v>
      </c>
      <c r="D5" s="52" t="s">
        <v>1</v>
      </c>
      <c r="E5" s="52" t="s">
        <v>2</v>
      </c>
      <c r="F5" s="52" t="s">
        <v>3</v>
      </c>
      <c r="G5" s="52" t="s">
        <v>4</v>
      </c>
      <c r="H5" s="52" t="s">
        <v>5</v>
      </c>
      <c r="I5" s="52" t="s">
        <v>35</v>
      </c>
      <c r="J5" s="52" t="s">
        <v>36</v>
      </c>
      <c r="K5" s="4" t="s">
        <v>32</v>
      </c>
      <c r="L5" s="4" t="s">
        <v>49</v>
      </c>
    </row>
    <row r="6" spans="1:12" ht="20.100000000000001" customHeight="1" x14ac:dyDescent="0.25">
      <c r="A6" s="75" t="str">
        <f>VLOOKUP(LEFT(B6,1)&amp;$A$4&amp;RIGHT(B6,1),Players!$C:$H,2,FALSE)&amp;" ("&amp;VLOOKUP(LEFT(B6,1)&amp;$A$4&amp;RIGHT(B6,1),Players!$C:$H,3,FALSE)&amp;")"&amp;CHAR(10)&amp;VLOOKUP(LEFT(B6,1)&amp;$A$4&amp;RIGHT(B6,1),Players!$C:$H,4,FALSE)&amp;" ("&amp;VLOOKUP(LEFT(B6,1)&amp;$A$4&amp;RIGHT(B6,1),Players!$C:$H,5,FALSE)&amp;")"</f>
        <v>James Kee (Manchester Edgeley)
Julie Leeming (Manchester Edgeley)</v>
      </c>
      <c r="B6" s="82" t="s">
        <v>0</v>
      </c>
      <c r="C6" s="83" t="s">
        <v>89</v>
      </c>
      <c r="D6" s="83" t="s">
        <v>89</v>
      </c>
      <c r="E6" s="53" t="str">
        <f>IF(OR(LEFT($B6,1)=LEFT(E$5,1),RIGHT($B6,1)&lt;&gt;RIGHT(E$5,1)),"-",$A$4&amp;RIGHT($B6)&amp;IF(LEFT($B6,1)&lt;LEFT(E$5,1),VLOOKUP(LEFT($B6,1)&amp;" v "&amp;LEFT(E$5,1),Matches!$B:$K,10,FALSE),VLOOKUP(LEFT(E$5,1)&amp;" v "&amp;LEFT($B6,1),Matches!$B:$K,10,FALSE)))</f>
        <v>MxA1</v>
      </c>
      <c r="F6" s="83" t="s">
        <v>89</v>
      </c>
      <c r="G6" s="53" t="str">
        <f>IF(OR(LEFT($B6,1)=LEFT(G$5,1),RIGHT($B6,1)&lt;&gt;RIGHT(G$5,1)),"-",$A$4&amp;RIGHT($B6)&amp;IF(LEFT($B6,1)&lt;LEFT(G$5,1),VLOOKUP(LEFT($B6,1)&amp;" v "&amp;LEFT(G$5,1),Matches!$B:$K,10,FALSE),VLOOKUP(LEFT(G$5,1)&amp;" v "&amp;LEFT($B6,1),Matches!$B:$K,10,FALSE)))</f>
        <v>MxA6</v>
      </c>
      <c r="H6" s="83" t="s">
        <v>89</v>
      </c>
      <c r="I6" s="53" t="str">
        <f>IF(OR(LEFT($B6,1)=LEFT(I$5,1),RIGHT($B6,1)&lt;&gt;RIGHT(I$5,1)),"-",$A$4&amp;RIGHT($B6)&amp;IF(LEFT($B6,1)&lt;LEFT(I$5,1),VLOOKUP(LEFT($B6,1)&amp;" v "&amp;LEFT(I$5,1),Matches!$B:$K,10,FALSE),VLOOKUP(LEFT(I$5,1)&amp;" v "&amp;LEFT($B6,1),Matches!$B:$K,10,FALSE)))</f>
        <v>MxA4</v>
      </c>
      <c r="J6" s="83" t="s">
        <v>89</v>
      </c>
      <c r="K6" s="87" t="str">
        <f>IF(OR(LEFT($B6,1)=LEFT(E$5,1),RIGHT($B6,1)&lt;&gt;RIGHT(E$5,1)),"-",IF($B6=E$5,"-",IF($B6&lt;E$5,VLOOKUP(E6,'Match Results'!$A:$N,12,FALSE),VLOOKUP(E6,'Match Results'!$A:$N,13,FALSE))))&amp;"  "&amp;IF(OR(LEFT($B6,1)=LEFT(G$5,1),RIGHT($B6,1)&lt;&gt;RIGHT(G$5,1)),"-",IF($B6=G$5,"-",IF($B6&lt;G$5,VLOOKUP(G6,'Match Results'!$A:$N,12,FALSE),VLOOKUP(G6,'Match Results'!$A:$N,13,FALSE))))&amp;"  "&amp;IF(OR(LEFT($B6,1)=LEFT(I$5,1),RIGHT($B6,1)&lt;&gt;RIGHT(I$5,1)),"-",IF($B6=I$5,"-",IF($B6&lt;I$5,VLOOKUP(I6,'Match Results'!$A:$N,12,FALSE),VLOOKUP(I6,'Match Results'!$A:$N,13,FALSE))))</f>
        <v>2  0  0</v>
      </c>
      <c r="L6" s="87">
        <f>IF(OR(LEFT($B6,1)=LEFT(E$5,1),RIGHT($B6,1)&lt;&gt;RIGHT(E$5,1)),"-",IF($B6=E$5,"-",IF($B6&lt;E$5,VLOOKUP(E6,'Match Results'!$A:$N,12,FALSE),VLOOKUP(E6,'Match Results'!$A:$N,13,FALSE))))+IF(OR(LEFT($B6,1)=LEFT(G$5,1),RIGHT($B6,1)&lt;&gt;RIGHT(G$5,1)),"-",IF($B6=G$5,"-",IF($B6&lt;G$5,VLOOKUP(G6,'Match Results'!$A:$N,12,FALSE),VLOOKUP(G6,'Match Results'!$A:$N,13,FALSE))))+IF(OR(LEFT($B6,1)=LEFT(I$5,1),RIGHT($B6,1)&lt;&gt;RIGHT(I$5,1)),"-",IF($B6=I$5,"-",IF($B6&lt;I$5,VLOOKUP(I6,'Match Results'!$A:$N,12,FALSE),VLOOKUP(I6,'Match Results'!$A:$N,13,FALSE))))</f>
        <v>2</v>
      </c>
    </row>
    <row r="7" spans="1:12" ht="20.100000000000001" customHeight="1" x14ac:dyDescent="0.25">
      <c r="A7" s="76"/>
      <c r="B7" s="82"/>
      <c r="C7" s="79"/>
      <c r="D7" s="79"/>
      <c r="E7" s="56" t="str">
        <f>IF(OR(LEFT($B6,1)=LEFT(E$5,1),RIGHT($B6,1)&lt;&gt;RIGHT(E$5,1)),"-",IF($B6=E$5,"-",IF($B6&lt;E$5,VLOOKUP(E6,'Match Results'!$A:$N,6,FALSE)&amp;" - "&amp;VLOOKUP(E6,'Match Results'!$A:$N,7,FALSE),VLOOKUP(E6,'Match Results'!$A:$N,7,FALSE)&amp;" - "&amp;VLOOKUP(E6,'Match Results'!$A:$N,6,FALSE))))</f>
        <v>21 - 16</v>
      </c>
      <c r="F7" s="79"/>
      <c r="G7" s="56" t="str">
        <f>IF(OR(LEFT($B6,1)=LEFT(G$5,1),RIGHT($B6,1)&lt;&gt;RIGHT(G$5,1)),"-",IF($B6=G$5,"-",IF($B6&lt;G$5,VLOOKUP(G6,'Match Results'!$A:$N,6,FALSE)&amp;" - "&amp;VLOOKUP(G6,'Match Results'!$A:$N,7,FALSE),VLOOKUP(G6,'Match Results'!$A:$N,7,FALSE)&amp;" - "&amp;VLOOKUP(G6,'Match Results'!$A:$N,6,FALSE))))</f>
        <v>13 - 21</v>
      </c>
      <c r="H7" s="79"/>
      <c r="I7" s="56" t="str">
        <f>IF(OR(LEFT($B6,1)=LEFT(I$5,1),RIGHT($B6,1)&lt;&gt;RIGHT(I$5,1)),"-",IF($B6=I$5,"-",IF($B6&lt;I$5,VLOOKUP(I6,'Match Results'!$A:$N,6,FALSE)&amp;" - "&amp;VLOOKUP(I6,'Match Results'!$A:$N,7,FALSE),VLOOKUP(I6,'Match Results'!$A:$N,7,FALSE)&amp;" - "&amp;VLOOKUP(I6,'Match Results'!$A:$N,6,FALSE))))</f>
        <v>13 - 21</v>
      </c>
      <c r="J7" s="79"/>
      <c r="K7" s="88"/>
      <c r="L7" s="88"/>
    </row>
    <row r="8" spans="1:12" ht="20.100000000000001" customHeight="1" x14ac:dyDescent="0.25">
      <c r="A8" s="77"/>
      <c r="B8" s="82"/>
      <c r="C8" s="80"/>
      <c r="D8" s="80"/>
      <c r="E8" s="54" t="str">
        <f>IF(OR(LEFT($B6,1)=LEFT(E$5,1),RIGHT($B6,1)&lt;&gt;RIGHT(E$5,1)),"-",IF($B6=E$5,"-",IF($B6&lt;E$5,VLOOKUP(E6,'Match Results'!$A:$N,9,FALSE)&amp;" - "&amp;VLOOKUP(E6,'Match Results'!$A:$N,10,FALSE),VLOOKUP(E6,'Match Results'!$A:$N,10,FALSE)&amp;" - "&amp;VLOOKUP(E6,'Match Results'!$A:$N,9,FALSE))))</f>
        <v>21 - 19</v>
      </c>
      <c r="F8" s="80"/>
      <c r="G8" s="54" t="str">
        <f>IF(OR(LEFT($B6,1)=LEFT(G$5,1),RIGHT($B6,1)&lt;&gt;RIGHT(G$5,1)),"-",IF($B6=G$5,"-",IF($B6&lt;G$5,VLOOKUP(G6,'Match Results'!$A:$N,9,FALSE)&amp;" - "&amp;VLOOKUP(G6,'Match Results'!$A:$N,10,FALSE),VLOOKUP(G6,'Match Results'!$A:$N,10,FALSE)&amp;" - "&amp;VLOOKUP(G6,'Match Results'!$A:$N,9,FALSE))))</f>
        <v>13 - 21</v>
      </c>
      <c r="H8" s="80"/>
      <c r="I8" s="54" t="str">
        <f>IF(OR(LEFT($B6,1)=LEFT(I$5,1),RIGHT($B6,1)&lt;&gt;RIGHT(I$5,1)),"-",IF($B6=I$5,"-",IF($B6&lt;I$5,VLOOKUP(I6,'Match Results'!$A:$N,9,FALSE)&amp;" - "&amp;VLOOKUP(I6,'Match Results'!$A:$N,10,FALSE),VLOOKUP(I6,'Match Results'!$A:$N,10,FALSE)&amp;" - "&amp;VLOOKUP(I6,'Match Results'!$A:$N,9,FALSE))))</f>
        <v>11 - 21</v>
      </c>
      <c r="J8" s="80"/>
      <c r="K8" s="86"/>
      <c r="L8" s="86"/>
    </row>
    <row r="9" spans="1:12" ht="20.100000000000001" customHeight="1" x14ac:dyDescent="0.25">
      <c r="A9" s="75" t="str">
        <f>VLOOKUP(LEFT(B9,1)&amp;$A$4&amp;RIGHT(B9,1),Players!$C:$H,2,FALSE)&amp;" ("&amp;VLOOKUP(LEFT(B9,1)&amp;$A$4&amp;RIGHT(B9,1),Players!$C:$H,3,FALSE)&amp;")"&amp;CHAR(10)&amp;VLOOKUP(LEFT(B9,1)&amp;$A$4&amp;RIGHT(B9,1),Players!$C:$H,4,FALSE)&amp;" ("&amp;VLOOKUP(LEFT(B9,1)&amp;$A$4&amp;RIGHT(B9,1),Players!$C:$H,5,FALSE)&amp;")"</f>
        <v>Duncan Hurlstone (Forest)
Emily Stapley (Forest)</v>
      </c>
      <c r="B9" s="81" t="s">
        <v>2</v>
      </c>
      <c r="C9" s="53" t="str">
        <f>IF(OR(LEFT($B9,1)=LEFT(C$5,1),RIGHT($B9,1)&lt;&gt;RIGHT(C$5,1)),"-",$A$4&amp;RIGHT($B9)&amp;IF(LEFT($B9,1)&lt;LEFT(C$5,1),VLOOKUP(LEFT($B9,1)&amp;" v "&amp;LEFT(C$5,1),Matches!$B:$K,10,FALSE),VLOOKUP(LEFT(C$5,1)&amp;" v "&amp;LEFT($B9,1),Matches!$B:$K,10,FALSE)))</f>
        <v>MxA1</v>
      </c>
      <c r="D9" s="83" t="s">
        <v>89</v>
      </c>
      <c r="E9" s="83" t="s">
        <v>89</v>
      </c>
      <c r="F9" s="83" t="s">
        <v>89</v>
      </c>
      <c r="G9" s="53" t="str">
        <f>IF(OR(LEFT($B9,1)=LEFT(G$5,1),RIGHT($B9,1)&lt;&gt;RIGHT(G$5,1)),"-",$A$4&amp;RIGHT($B9)&amp;IF(LEFT($B9,1)&lt;LEFT(G$5,1),VLOOKUP(LEFT($B9,1)&amp;" v "&amp;LEFT(G$5,1),Matches!$B:$K,10,FALSE),VLOOKUP(LEFT(G$5,1)&amp;" v "&amp;LEFT($B9,1),Matches!$B:$K,10,FALSE)))</f>
        <v>MxA3</v>
      </c>
      <c r="H9" s="83" t="s">
        <v>89</v>
      </c>
      <c r="I9" s="53" t="str">
        <f>IF(OR(LEFT($B9,1)=LEFT(I$5,1),RIGHT($B9,1)&lt;&gt;RIGHT(I$5,1)),"-",$A$4&amp;RIGHT($B9)&amp;IF(LEFT($B9,1)&lt;LEFT(I$5,1),VLOOKUP(LEFT($B9,1)&amp;" v "&amp;LEFT(I$5,1),Matches!$B:$K,10,FALSE),VLOOKUP(LEFT(I$5,1)&amp;" v "&amp;LEFT($B9,1),Matches!$B:$K,10,FALSE)))</f>
        <v>MxA5</v>
      </c>
      <c r="J9" s="83" t="s">
        <v>89</v>
      </c>
      <c r="K9" s="87" t="str">
        <f>IF(OR(LEFT($B9,1)=LEFT(C$5,1),RIGHT($B9,1)&lt;&gt;RIGHT(C$5,1)),"-",IF($B9=C$5,"-",IF($B9&lt;C$5,VLOOKUP(C9,'Match Results'!$A:$N,12,FALSE),VLOOKUP(C9,'Match Results'!$A:$N,13,FALSE))))&amp;"  "&amp;IF(OR(LEFT($B9,1)=LEFT(G$5,1),RIGHT($B9,1)&lt;&gt;RIGHT(G$5,1)),"-",IF($B9=G$5,"-",IF($B9&lt;G$5,VLOOKUP(G9,'Match Results'!$A:$N,12,FALSE),VLOOKUP(G9,'Match Results'!$A:$N,13,FALSE))))&amp;"  "&amp;IF(OR(LEFT($B9,1)=LEFT(I$5,1),RIGHT($B9,1)&lt;&gt;RIGHT(I$5,1)),"-",IF($B9=I$5,"-",IF($B9&lt;I$5,VLOOKUP(I9,'Match Results'!$A:$N,12,FALSE),VLOOKUP(I9,'Match Results'!$A:$N,13,FALSE))))</f>
        <v>0  1  1</v>
      </c>
      <c r="L9" s="87">
        <f>IF(OR(LEFT($B9,1)=LEFT(C$5,1),RIGHT($B9,1)&lt;&gt;RIGHT(C$5,1)),"-",IF($B9=C$5,"-",IF($B9&lt;C$5,VLOOKUP(C9,'Match Results'!$A:$N,12,FALSE),VLOOKUP(C9,'Match Results'!$A:$N,13,FALSE))))+IF(OR(LEFT($B9,1)=LEFT(G$5,1),RIGHT($B9,1)&lt;&gt;RIGHT(G$5,1)),"-",IF($B9=G$5,"-",IF($B9&lt;G$5,VLOOKUP(G9,'Match Results'!$A:$N,12,FALSE),VLOOKUP(G9,'Match Results'!$A:$N,13,FALSE))))+IF(OR(LEFT($B9,1)=LEFT(I$5,1),RIGHT($B9,1)&lt;&gt;RIGHT(I$5,1)),"-",IF($B9=I$5,"-",IF($B9&lt;I$5,VLOOKUP(I9,'Match Results'!$A:$N,12,FALSE),VLOOKUP(I9,'Match Results'!$A:$N,13,FALSE))))</f>
        <v>2</v>
      </c>
    </row>
    <row r="10" spans="1:12" ht="20.100000000000001" customHeight="1" x14ac:dyDescent="0.25">
      <c r="A10" s="76"/>
      <c r="B10" s="81"/>
      <c r="C10" s="56" t="str">
        <f>IF(OR(LEFT($B9,1)=LEFT(C$5,1),RIGHT($B9,1)&lt;&gt;RIGHT(C$5,1)),"-",IF($B9=C$5,"-",IF($B9&lt;C$5,VLOOKUP(C9,'Match Results'!$A:$N,6,FALSE)&amp;" - "&amp;VLOOKUP(C9,'Match Results'!$A:$N,7,FALSE),VLOOKUP(C9,'Match Results'!$A:$N,7,FALSE)&amp;" - "&amp;VLOOKUP(C9,'Match Results'!$A:$N,6,FALSE))))</f>
        <v>16 - 21</v>
      </c>
      <c r="D10" s="79"/>
      <c r="E10" s="79"/>
      <c r="F10" s="79"/>
      <c r="G10" s="56" t="str">
        <f>IF(OR(LEFT($B9,1)=LEFT(G$5,1),RIGHT($B9,1)&lt;&gt;RIGHT(G$5,1)),"-",IF($B9=G$5,"-",IF($B9&lt;G$5,VLOOKUP(G9,'Match Results'!$A:$N,6,FALSE)&amp;" - "&amp;VLOOKUP(G9,'Match Results'!$A:$N,7,FALSE),VLOOKUP(G9,'Match Results'!$A:$N,7,FALSE)&amp;" - "&amp;VLOOKUP(G9,'Match Results'!$A:$N,6,FALSE))))</f>
        <v>20 - 21</v>
      </c>
      <c r="H10" s="79"/>
      <c r="I10" s="56" t="str">
        <f>IF(OR(LEFT($B9,1)=LEFT(I$5,1),RIGHT($B9,1)&lt;&gt;RIGHT(I$5,1)),"-",IF($B9=I$5,"-",IF($B9&lt;I$5,VLOOKUP(I9,'Match Results'!$A:$N,6,FALSE)&amp;" - "&amp;VLOOKUP(I9,'Match Results'!$A:$N,7,FALSE),VLOOKUP(I9,'Match Results'!$A:$N,7,FALSE)&amp;" - "&amp;VLOOKUP(I9,'Match Results'!$A:$N,6,FALSE))))</f>
        <v>21 - 19</v>
      </c>
      <c r="J10" s="79"/>
      <c r="K10" s="88"/>
      <c r="L10" s="88"/>
    </row>
    <row r="11" spans="1:12" ht="20.100000000000001" customHeight="1" x14ac:dyDescent="0.25">
      <c r="A11" s="77"/>
      <c r="B11" s="81"/>
      <c r="C11" s="54" t="str">
        <f>IF(OR(LEFT($B9,1)=LEFT(C$5,1),RIGHT($B9,1)&lt;&gt;RIGHT(C$5,1)),"-",IF($B9=C$5,"-",IF($B9&lt;C$5,VLOOKUP(C9,'Match Results'!$A:$N,9,FALSE)&amp;" - "&amp;VLOOKUP(C9,'Match Results'!$A:$N,10,FALSE),VLOOKUP(C9,'Match Results'!$A:$N,10,FALSE)&amp;" - "&amp;VLOOKUP(C9,'Match Results'!$A:$N,9,FALSE))))</f>
        <v>19 - 21</v>
      </c>
      <c r="D11" s="80"/>
      <c r="E11" s="80"/>
      <c r="F11" s="80"/>
      <c r="G11" s="54" t="str">
        <f>IF(OR(LEFT($B9,1)=LEFT(G$5,1),RIGHT($B9,1)&lt;&gt;RIGHT(G$5,1)),"-",IF($B9=G$5,"-",IF($B9&lt;G$5,VLOOKUP(G9,'Match Results'!$A:$N,9,FALSE)&amp;" - "&amp;VLOOKUP(G9,'Match Results'!$A:$N,10,FALSE),VLOOKUP(G9,'Match Results'!$A:$N,10,FALSE)&amp;" - "&amp;VLOOKUP(G9,'Match Results'!$A:$N,9,FALSE))))</f>
        <v>21 - 17</v>
      </c>
      <c r="H11" s="80"/>
      <c r="I11" s="54" t="str">
        <f>IF(OR(LEFT($B9,1)=LEFT(I$5,1),RIGHT($B9,1)&lt;&gt;RIGHT(I$5,1)),"-",IF($B9=I$5,"-",IF($B9&lt;I$5,VLOOKUP(I9,'Match Results'!$A:$N,9,FALSE)&amp;" - "&amp;VLOOKUP(I9,'Match Results'!$A:$N,10,FALSE),VLOOKUP(I9,'Match Results'!$A:$N,10,FALSE)&amp;" - "&amp;VLOOKUP(I9,'Match Results'!$A:$N,9,FALSE))))</f>
        <v>15 - 21</v>
      </c>
      <c r="J11" s="80"/>
      <c r="K11" s="86"/>
      <c r="L11" s="86"/>
    </row>
    <row r="12" spans="1:12" ht="20.100000000000001" customHeight="1" x14ac:dyDescent="0.25">
      <c r="A12" s="75" t="str">
        <f>VLOOKUP(LEFT(B12,1)&amp;$A$4&amp;RIGHT(B12,1),Players!$C:$H,2,FALSE)&amp;" ("&amp;VLOOKUP(LEFT(B12,1)&amp;$A$4&amp;RIGHT(B12,1),Players!$C:$H,3,FALSE)&amp;")"&amp;CHAR(10)&amp;VLOOKUP(LEFT(B12,1)&amp;$A$4&amp;RIGHT(B12,1),Players!$C:$H,4,FALSE)&amp;" ("&amp;VLOOKUP(LEFT(B12,1)&amp;$A$4&amp;RIGHT(B12,1),Players!$C:$H,5,FALSE)&amp;")"</f>
        <v>Pasha Riley (Yeti)
Avril Sloane (Yeti)</v>
      </c>
      <c r="B12" s="82" t="s">
        <v>4</v>
      </c>
      <c r="C12" s="53" t="str">
        <f>IF(OR(LEFT($B12,1)=LEFT(C$5,1),RIGHT($B12,1)&lt;&gt;RIGHT(C$5,1)),"-",$A$4&amp;RIGHT($B12)&amp;IF(LEFT($B12,1)&lt;LEFT(C$5,1),VLOOKUP(LEFT($B12,1)&amp;" v "&amp;LEFT(C$5,1),Matches!$B:$K,10,FALSE),VLOOKUP(LEFT(C$5,1)&amp;" v "&amp;LEFT($B12,1),Matches!$B:$K,10,FALSE)))</f>
        <v>MxA6</v>
      </c>
      <c r="D12" s="83" t="s">
        <v>89</v>
      </c>
      <c r="E12" s="53" t="str">
        <f>IF(OR(LEFT($B12,1)=LEFT(E$5,1),RIGHT($B12,1)&lt;&gt;RIGHT(E$5,1)),"-",$A$4&amp;RIGHT($B12)&amp;IF(LEFT($B12,1)&lt;LEFT(E$5,1),VLOOKUP(LEFT($B12,1)&amp;" v "&amp;LEFT(E$5,1),Matches!$B:$K,10,FALSE),VLOOKUP(LEFT(E$5,1)&amp;" v "&amp;LEFT($B12,1),Matches!$B:$K,10,FALSE)))</f>
        <v>MxA3</v>
      </c>
      <c r="F12" s="83" t="s">
        <v>89</v>
      </c>
      <c r="G12" s="83" t="s">
        <v>89</v>
      </c>
      <c r="H12" s="83" t="s">
        <v>89</v>
      </c>
      <c r="I12" s="53" t="str">
        <f>IF(OR(LEFT($B12,1)=LEFT(I$5,1),RIGHT($B12,1)&lt;&gt;RIGHT(I$5,1)),"-",$A$4&amp;RIGHT($B12)&amp;IF(LEFT($B12,1)&lt;LEFT(I$5,1),VLOOKUP(LEFT($B12,1)&amp;" v "&amp;LEFT(I$5,1),Matches!$B:$K,10,FALSE),VLOOKUP(LEFT(I$5,1)&amp;" v "&amp;LEFT($B12,1),Matches!$B:$K,10,FALSE)))</f>
        <v>MxA2</v>
      </c>
      <c r="J12" s="83" t="s">
        <v>89</v>
      </c>
      <c r="K12" s="87" t="str">
        <f>IF(OR(LEFT($B12,1)=LEFT(C$5,1),RIGHT($B12,1)&lt;&gt;RIGHT(C$5,1)),"-",IF($B12=C$5,"-",IF($B12&lt;C$5,VLOOKUP(C12,'Match Results'!$A:$N,12,FALSE),VLOOKUP(C12,'Match Results'!$A:$N,13,FALSE))))&amp;"  "&amp;IF(OR(LEFT($B12,1)=LEFT(E$5,1),RIGHT($B12,1)&lt;&gt;RIGHT(E$5,1)),"-",IF($B12=E$5,"-",IF($B12&lt;E$5,VLOOKUP(E12,'Match Results'!$A:$N,12,FALSE),VLOOKUP(E12,'Match Results'!$A:$N,13,FALSE))))&amp;"  "&amp;IF(OR(LEFT($B12,1)=LEFT(I$5,1),RIGHT($B12,1)&lt;&gt;RIGHT(I$5,1)),"-",IF($B12=I$5,"-",IF($B12&lt;I$5,VLOOKUP(I12,'Match Results'!$A:$N,12,FALSE),VLOOKUP(I12,'Match Results'!$A:$N,13,FALSE))))</f>
        <v>2  1  0</v>
      </c>
      <c r="L12" s="87">
        <f>IF(OR(LEFT($B12,1)=LEFT(C$5,1),RIGHT($B12,1)&lt;&gt;RIGHT(C$5,1)),"-",IF($B12=C$5,"-",IF($B12&lt;C$5,VLOOKUP(C12,'Match Results'!$A:$N,12,FALSE),VLOOKUP(C12,'Match Results'!$A:$N,13,FALSE))))+IF(OR(LEFT($B12,1)=LEFT(E$5,1),RIGHT($B12,1)&lt;&gt;RIGHT(E$5,1)),"-",IF($B12=E$5,"-",IF($B12&lt;E$5,VLOOKUP(E12,'Match Results'!$A:$N,12,FALSE),VLOOKUP(E12,'Match Results'!$A:$N,13,FALSE))))+IF(OR(LEFT($B12,1)=LEFT(I$5,1),RIGHT($B12,1)&lt;&gt;RIGHT(I$5,1)),"-",IF($B12=I$5,"-",IF($B12&lt;I$5,VLOOKUP(I12,'Match Results'!$A:$N,12,FALSE),VLOOKUP(I12,'Match Results'!$A:$N,13,FALSE))))</f>
        <v>3</v>
      </c>
    </row>
    <row r="13" spans="1:12" ht="20.100000000000001" customHeight="1" x14ac:dyDescent="0.25">
      <c r="A13" s="76"/>
      <c r="B13" s="82"/>
      <c r="C13" s="56" t="str">
        <f>IF(OR(LEFT($B12,1)=LEFT(C$5,1),RIGHT($B12,1)&lt;&gt;RIGHT(C$5,1)),"-",IF($B12=C$5,"-",IF($B12&lt;C$5,VLOOKUP(C12,'Match Results'!$A:$N,6,FALSE)&amp;" - "&amp;VLOOKUP(C12,'Match Results'!$A:$N,7,FALSE),VLOOKUP(C12,'Match Results'!$A:$N,7,FALSE)&amp;" - "&amp;VLOOKUP(C12,'Match Results'!$A:$N,6,FALSE))))</f>
        <v>21 - 13</v>
      </c>
      <c r="D13" s="79"/>
      <c r="E13" s="56" t="str">
        <f>IF(OR(LEFT($B12,1)=LEFT(E$5,1),RIGHT($B12,1)&lt;&gt;RIGHT(E$5,1)),"-",IF($B12=E$5,"-",IF($B12&lt;E$5,VLOOKUP(E12,'Match Results'!$A:$N,6,FALSE)&amp;" - "&amp;VLOOKUP(E12,'Match Results'!$A:$N,7,FALSE),VLOOKUP(E12,'Match Results'!$A:$N,7,FALSE)&amp;" - "&amp;VLOOKUP(E12,'Match Results'!$A:$N,6,FALSE))))</f>
        <v>21 - 20</v>
      </c>
      <c r="F13" s="79"/>
      <c r="G13" s="79"/>
      <c r="H13" s="79"/>
      <c r="I13" s="56" t="str">
        <f>IF(OR(LEFT($B12,1)=LEFT(I$5,1),RIGHT($B12,1)&lt;&gt;RIGHT(I$5,1)),"-",IF($B12=I$5,"-",IF($B12&lt;I$5,VLOOKUP(I12,'Match Results'!$A:$N,6,FALSE)&amp;" - "&amp;VLOOKUP(I12,'Match Results'!$A:$N,7,FALSE),VLOOKUP(I12,'Match Results'!$A:$N,7,FALSE)&amp;" - "&amp;VLOOKUP(I12,'Match Results'!$A:$N,6,FALSE))))</f>
        <v>15 - 21</v>
      </c>
      <c r="J13" s="79"/>
      <c r="K13" s="88"/>
      <c r="L13" s="88"/>
    </row>
    <row r="14" spans="1:12" ht="20.100000000000001" customHeight="1" x14ac:dyDescent="0.25">
      <c r="A14" s="77"/>
      <c r="B14" s="82"/>
      <c r="C14" s="54" t="str">
        <f>IF(OR(LEFT($B12,1)=LEFT(C$5,1),RIGHT($B12,1)&lt;&gt;RIGHT(C$5,1)),"-",IF($B12=C$5,"-",IF($B12&lt;C$5,VLOOKUP(C12,'Match Results'!$A:$N,9,FALSE)&amp;" - "&amp;VLOOKUP(C12,'Match Results'!$A:$N,10,FALSE),VLOOKUP(C12,'Match Results'!$A:$N,10,FALSE)&amp;" - "&amp;VLOOKUP(C12,'Match Results'!$A:$N,9,FALSE))))</f>
        <v>21 - 13</v>
      </c>
      <c r="D14" s="80"/>
      <c r="E14" s="54" t="str">
        <f>IF(OR(LEFT($B12,1)=LEFT(E$5,1),RIGHT($B12,1)&lt;&gt;RIGHT(E$5,1)),"-",IF($B12=E$5,"-",IF($B12&lt;E$5,VLOOKUP(E12,'Match Results'!$A:$N,9,FALSE)&amp;" - "&amp;VLOOKUP(E12,'Match Results'!$A:$N,10,FALSE),VLOOKUP(E12,'Match Results'!$A:$N,10,FALSE)&amp;" - "&amp;VLOOKUP(E12,'Match Results'!$A:$N,9,FALSE))))</f>
        <v>17 - 21</v>
      </c>
      <c r="F14" s="80"/>
      <c r="G14" s="80"/>
      <c r="H14" s="80"/>
      <c r="I14" s="54" t="str">
        <f>IF(OR(LEFT($B12,1)=LEFT(I$5,1),RIGHT($B12,1)&lt;&gt;RIGHT(I$5,1)),"-",IF($B12=I$5,"-",IF($B12&lt;I$5,VLOOKUP(I12,'Match Results'!$A:$N,9,FALSE)&amp;" - "&amp;VLOOKUP(I12,'Match Results'!$A:$N,10,FALSE),VLOOKUP(I12,'Match Results'!$A:$N,10,FALSE)&amp;" - "&amp;VLOOKUP(I12,'Match Results'!$A:$N,9,FALSE))))</f>
        <v>13 - 21</v>
      </c>
      <c r="J14" s="80"/>
      <c r="K14" s="86"/>
      <c r="L14" s="86"/>
    </row>
    <row r="15" spans="1:12" ht="20.100000000000001" customHeight="1" x14ac:dyDescent="0.25">
      <c r="A15" s="75" t="str">
        <f>VLOOKUP(LEFT(B15,1)&amp;$A$4&amp;RIGHT(B15,1),Players!$C:$H,2,FALSE)&amp;" ("&amp;VLOOKUP(LEFT(B15,1)&amp;$A$4&amp;RIGHT(B15,1),Players!$C:$H,3,FALSE)&amp;")"&amp;CHAR(10)&amp;VLOOKUP(LEFT(B15,1)&amp;$A$4&amp;RIGHT(B15,1),Players!$C:$H,4,FALSE)&amp;" ("&amp;VLOOKUP(LEFT(B15,1)&amp;$A$4&amp;RIGHT(B15,1),Players!$C:$H,5,FALSE)&amp;")"</f>
        <v>Rob Kirkpatrick (Silver Feather)
Sally Dowgill (Silver Feather)</v>
      </c>
      <c r="B15" s="81" t="s">
        <v>35</v>
      </c>
      <c r="C15" s="53" t="str">
        <f>IF(OR(LEFT($B15,1)=LEFT(C$5,1),RIGHT($B15,1)&lt;&gt;RIGHT(C$5,1)),"-",$A$4&amp;RIGHT($B15)&amp;IF(LEFT($B15,1)&lt;LEFT(C$5,1),VLOOKUP(LEFT($B15,1)&amp;" v "&amp;LEFT(C$5,1),Matches!$B:$K,10,FALSE),VLOOKUP(LEFT(C$5,1)&amp;" v "&amp;LEFT($B15,1),Matches!$B:$K,10,FALSE)))</f>
        <v>MxA4</v>
      </c>
      <c r="D15" s="83" t="s">
        <v>89</v>
      </c>
      <c r="E15" s="53" t="str">
        <f>IF(OR(LEFT($B15,1)=LEFT(E$5,1),RIGHT($B15,1)&lt;&gt;RIGHT(E$5,1)),"-",$A$4&amp;RIGHT($B15)&amp;IF(LEFT($B15,1)&lt;LEFT(E$5,1),VLOOKUP(LEFT($B15,1)&amp;" v "&amp;LEFT(E$5,1),Matches!$B:$K,10,FALSE),VLOOKUP(LEFT(E$5,1)&amp;" v "&amp;LEFT($B15,1),Matches!$B:$K,10,FALSE)))</f>
        <v>MxA5</v>
      </c>
      <c r="F15" s="83" t="s">
        <v>89</v>
      </c>
      <c r="G15" s="53" t="str">
        <f>IF(OR(LEFT($B15,1)=LEFT(G$5,1),RIGHT($B15,1)&lt;&gt;RIGHT(G$5,1)),"-",$A$4&amp;RIGHT($B15)&amp;IF(LEFT($B15,1)&lt;LEFT(G$5,1),VLOOKUP(LEFT($B15,1)&amp;" v "&amp;LEFT(G$5,1),Matches!$B:$K,10,FALSE),VLOOKUP(LEFT(G$5,1)&amp;" v "&amp;LEFT($B15,1),Matches!$B:$K,10,FALSE)))</f>
        <v>MxA2</v>
      </c>
      <c r="H15" s="83" t="s">
        <v>89</v>
      </c>
      <c r="I15" s="83" t="s">
        <v>89</v>
      </c>
      <c r="J15" s="83" t="s">
        <v>89</v>
      </c>
      <c r="K15" s="87" t="str">
        <f>IF(OR(LEFT($B15,1)=LEFT(C$5,1),RIGHT($B15,1)&lt;&gt;RIGHT(C$5,1)),"-",IF($B15=C$5,"-",IF($B15&lt;C$5,VLOOKUP(C15,'Match Results'!$A:$N,12,FALSE),VLOOKUP(C15,'Match Results'!$A:$N,13,FALSE))))&amp;"  "&amp;IF(OR(LEFT($B15,1)=LEFT(E$5,1),RIGHT($B15,1)&lt;&gt;RIGHT(E$5,1)),"-",IF($B15=E$5,"-",IF($B15&lt;E$5,VLOOKUP(E15,'Match Results'!$A:$N,12,FALSE),VLOOKUP(E15,'Match Results'!$A:$N,13,FALSE))))&amp;"  "&amp;IF(OR(LEFT($B15,1)=LEFT(G$5,1),RIGHT($B15,1)&lt;&gt;RIGHT(G$5,1)),"-",IF($B15=G$5,"-",IF($B15&lt;G$5,VLOOKUP(G15,'Match Results'!$A:$N,12,FALSE),VLOOKUP(G15,'Match Results'!$A:$N,13,FALSE))))</f>
        <v>2  1  2</v>
      </c>
      <c r="L15" s="87">
        <f>IF(OR(LEFT($B15,1)=LEFT(C$5,1),RIGHT($B15,1)&lt;&gt;RIGHT(C$5,1)),"-",IF($B15=C$5,"-",IF($B15&lt;C$5,VLOOKUP(C15,'Match Results'!$A:$N,12,FALSE),VLOOKUP(C15,'Match Results'!$A:$N,13,FALSE))))+IF(OR(LEFT($B15,1)=LEFT(E$5,1),RIGHT($B15,1)&lt;&gt;RIGHT(E$5,1)),"-",IF($B15=E$5,"-",IF($B15&lt;E$5,VLOOKUP(E15,'Match Results'!$A:$N,12,FALSE),VLOOKUP(E15,'Match Results'!$A:$N,13,FALSE))))+IF(OR(LEFT($B15,1)=LEFT(G$5,1),RIGHT($B15,1)&lt;&gt;RIGHT(G$5,1)),"-",IF($B15=G$5,"-",IF($B15&lt;G$5,VLOOKUP(G15,'Match Results'!$A:$N,12,FALSE),VLOOKUP(G15,'Match Results'!$A:$N,13,FALSE))))</f>
        <v>5</v>
      </c>
    </row>
    <row r="16" spans="1:12" ht="20.100000000000001" customHeight="1" x14ac:dyDescent="0.25">
      <c r="A16" s="76"/>
      <c r="B16" s="81"/>
      <c r="C16" s="56" t="str">
        <f>IF(OR(LEFT($B15,1)=LEFT(C$5,1),RIGHT($B15,1)&lt;&gt;RIGHT(C$5,1)),"-",IF($B15=C$5,"-",IF($B15&lt;C$5,VLOOKUP(C15,'Match Results'!$A:$N,6,FALSE)&amp;" - "&amp;VLOOKUP(C15,'Match Results'!$A:$N,7,FALSE),VLOOKUP(C15,'Match Results'!$A:$N,7,FALSE)&amp;" - "&amp;VLOOKUP(C15,'Match Results'!$A:$N,6,FALSE))))</f>
        <v>21 - 13</v>
      </c>
      <c r="D16" s="79"/>
      <c r="E16" s="56" t="str">
        <f>IF(OR(LEFT($B15,1)=LEFT(E$5,1),RIGHT($B15,1)&lt;&gt;RIGHT(E$5,1)),"-",IF($B15=E$5,"-",IF($B15&lt;E$5,VLOOKUP(E15,'Match Results'!$A:$N,6,FALSE)&amp;" - "&amp;VLOOKUP(E15,'Match Results'!$A:$N,7,FALSE),VLOOKUP(E15,'Match Results'!$A:$N,7,FALSE)&amp;" - "&amp;VLOOKUP(E15,'Match Results'!$A:$N,6,FALSE))))</f>
        <v>19 - 21</v>
      </c>
      <c r="F16" s="79"/>
      <c r="G16" s="56" t="str">
        <f>IF(OR(LEFT($B15,1)=LEFT(G$5,1),RIGHT($B15,1)&lt;&gt;RIGHT(G$5,1)),"-",IF($B15=G$5,"-",IF($B15&lt;G$5,VLOOKUP(G15,'Match Results'!$A:$N,6,FALSE)&amp;" - "&amp;VLOOKUP(G15,'Match Results'!$A:$N,7,FALSE),VLOOKUP(G15,'Match Results'!$A:$N,7,FALSE)&amp;" - "&amp;VLOOKUP(G15,'Match Results'!$A:$N,6,FALSE))))</f>
        <v>21 - 15</v>
      </c>
      <c r="H16" s="79"/>
      <c r="I16" s="79"/>
      <c r="J16" s="79"/>
      <c r="K16" s="88"/>
      <c r="L16" s="88"/>
    </row>
    <row r="17" spans="1:12" ht="20.100000000000001" customHeight="1" x14ac:dyDescent="0.25">
      <c r="A17" s="77"/>
      <c r="B17" s="81"/>
      <c r="C17" s="54" t="str">
        <f>IF(OR(LEFT($B15,1)=LEFT(C$5,1),RIGHT($B15,1)&lt;&gt;RIGHT(C$5,1)),"-",IF($B15=C$5,"-",IF($B15&lt;C$5,VLOOKUP(C15,'Match Results'!$A:$N,9,FALSE)&amp;" - "&amp;VLOOKUP(C15,'Match Results'!$A:$N,10,FALSE),VLOOKUP(C15,'Match Results'!$A:$N,10,FALSE)&amp;" - "&amp;VLOOKUP(C15,'Match Results'!$A:$N,9,FALSE))))</f>
        <v>21 - 11</v>
      </c>
      <c r="D17" s="80"/>
      <c r="E17" s="54" t="str">
        <f>IF(OR(LEFT($B15,1)=LEFT(E$5,1),RIGHT($B15,1)&lt;&gt;RIGHT(E$5,1)),"-",IF($B15=E$5,"-",IF($B15&lt;E$5,VLOOKUP(E15,'Match Results'!$A:$N,9,FALSE)&amp;" - "&amp;VLOOKUP(E15,'Match Results'!$A:$N,10,FALSE),VLOOKUP(E15,'Match Results'!$A:$N,10,FALSE)&amp;" - "&amp;VLOOKUP(E15,'Match Results'!$A:$N,9,FALSE))))</f>
        <v>21 - 15</v>
      </c>
      <c r="F17" s="80"/>
      <c r="G17" s="54" t="str">
        <f>IF(OR(LEFT($B15,1)=LEFT(G$5,1),RIGHT($B15,1)&lt;&gt;RIGHT(G$5,1)),"-",IF($B15=G$5,"-",IF($B15&lt;G$5,VLOOKUP(G15,'Match Results'!$A:$N,9,FALSE)&amp;" - "&amp;VLOOKUP(G15,'Match Results'!$A:$N,10,FALSE),VLOOKUP(G15,'Match Results'!$A:$N,10,FALSE)&amp;" - "&amp;VLOOKUP(G15,'Match Results'!$A:$N,9,FALSE))))</f>
        <v>21 - 13</v>
      </c>
      <c r="H17" s="80"/>
      <c r="I17" s="80"/>
      <c r="J17" s="80"/>
      <c r="K17" s="86"/>
      <c r="L17" s="86"/>
    </row>
    <row r="18" spans="1:12" ht="20.100000000000001" customHeight="1" x14ac:dyDescent="0.25">
      <c r="A18" s="75" t="str">
        <f>VLOOKUP(LEFT(B18,1)&amp;$A$4&amp;RIGHT(B18,1),Players!$C:$H,2,FALSE)&amp;" ("&amp;VLOOKUP(LEFT(B18,1)&amp;$A$4&amp;RIGHT(B18,1),Players!$C:$H,3,FALSE)&amp;")"&amp;CHAR(10)&amp;VLOOKUP(LEFT(B18,1)&amp;$A$4&amp;RIGHT(B18,1),Players!$C:$H,4,FALSE)&amp;" ("&amp;VLOOKUP(LEFT(B18,1)&amp;$A$4&amp;RIGHT(B18,1),Players!$C:$H,5,FALSE)&amp;")"</f>
        <v>Kerry Kirkwood (Forest)
Lisa Edgar (Manchester Edgeley)</v>
      </c>
      <c r="B18" s="81" t="s">
        <v>1</v>
      </c>
      <c r="C18" s="83" t="s">
        <v>89</v>
      </c>
      <c r="D18" s="83" t="s">
        <v>89</v>
      </c>
      <c r="E18" s="83" t="s">
        <v>89</v>
      </c>
      <c r="F18" s="53" t="str">
        <f>IF(OR(LEFT($B18,1)=LEFT(F$5,1),RIGHT($B18,1)&lt;&gt;RIGHT(F$5,1)),"-",$A$4&amp;RIGHT($B18)&amp;IF(LEFT($B18,1)&lt;LEFT(F$5,1),VLOOKUP(LEFT($B18,1)&amp;" v "&amp;LEFT(F$5,1),Matches!$B:$K,10,FALSE),VLOOKUP(LEFT(F$5,1)&amp;" v "&amp;LEFT($B18,1),Matches!$B:$K,10,FALSE)))</f>
        <v>MxB1</v>
      </c>
      <c r="G18" s="83" t="s">
        <v>89</v>
      </c>
      <c r="H18" s="53" t="str">
        <f>IF(OR(LEFT($B18,1)=LEFT(H$5,1),RIGHT($B18,1)&lt;&gt;RIGHT(H$5,1)),"-",$A$4&amp;RIGHT($B18)&amp;IF(LEFT($B18,1)&lt;LEFT(H$5,1),VLOOKUP(LEFT($B18,1)&amp;" v "&amp;LEFT(H$5,1),Matches!$B:$K,10,FALSE),VLOOKUP(LEFT(H$5,1)&amp;" v "&amp;LEFT($B18,1),Matches!$B:$K,10,FALSE)))</f>
        <v>MxB6</v>
      </c>
      <c r="I18" s="83" t="s">
        <v>89</v>
      </c>
      <c r="J18" s="53" t="str">
        <f>IF(OR(LEFT($B18,1)=LEFT(J$5,1),RIGHT($B18,1)&lt;&gt;RIGHT(J$5,1)),"-",$A$4&amp;RIGHT($B18)&amp;IF(LEFT($B18,1)&lt;LEFT(J$5,1),VLOOKUP(LEFT($B18,1)&amp;" v "&amp;LEFT(J$5,1),Matches!$B:$K,10,FALSE),VLOOKUP(LEFT(J$5,1)&amp;" v "&amp;LEFT($B18,1),Matches!$B:$K,10,FALSE)))</f>
        <v>MxB4</v>
      </c>
      <c r="K18" s="87" t="str">
        <f>IF(OR(LEFT($B18,1)=LEFT(F$5,1),RIGHT($B18,1)&lt;&gt;RIGHT(F$5,1)),"-",IF($B18=F$5,"-",IF($B18&lt;F$5,VLOOKUP(F18,'Match Results'!$A:$N,12,FALSE),VLOOKUP(F18,'Match Results'!$A:$N,13,FALSE))))&amp;"  "&amp;IF(OR(LEFT($B18,1)=LEFT(H$5,1),RIGHT($B18,1)&lt;&gt;RIGHT(H$5,1)),"-",IF($B18=H$5,"-",IF($B18&lt;H$5,VLOOKUP(H18,'Match Results'!$A:$N,12,FALSE),VLOOKUP(H18,'Match Results'!$A:$N,13,FALSE))))&amp;"  "&amp;IF(OR(LEFT($B18,1)=LEFT(J$5,1),RIGHT($B18,1)&lt;&gt;RIGHT(J$5,1)),"-",IF($B18=J$5,"-",IF($B18&lt;J$5,VLOOKUP(J18,'Match Results'!$A:$N,12,FALSE),VLOOKUP(J18,'Match Results'!$A:$N,13,FALSE))))</f>
        <v>2  2  1</v>
      </c>
      <c r="L18" s="87">
        <f>IF(OR(LEFT($B18,1)=LEFT(F$5,1),RIGHT($B18,1)&lt;&gt;RIGHT(F$5,1)),"-",IF($B18=F$5,"-",IF($B18&lt;F$5,VLOOKUP(F18,'Match Results'!$A:$N,12,FALSE),VLOOKUP(F18,'Match Results'!$A:$N,13,FALSE))))+IF(OR(LEFT($B18,1)=LEFT(H$5,1),RIGHT($B18,1)&lt;&gt;RIGHT(H$5,1)),"-",IF($B18=H$5,"-",IF($B18&lt;H$5,VLOOKUP(H18,'Match Results'!$A:$N,12,FALSE),VLOOKUP(H18,'Match Results'!$A:$N,13,FALSE))))+IF(OR(LEFT($B18,1)=LEFT(J$5,1),RIGHT($B18,1)&lt;&gt;RIGHT(J$5,1)),"-",IF($B18=J$5,"-",IF($B18&lt;J$5,VLOOKUP(J18,'Match Results'!$A:$N,12,FALSE),VLOOKUP(J18,'Match Results'!$A:$N,13,FALSE))))</f>
        <v>5</v>
      </c>
    </row>
    <row r="19" spans="1:12" ht="20.100000000000001" customHeight="1" x14ac:dyDescent="0.25">
      <c r="A19" s="76"/>
      <c r="B19" s="81"/>
      <c r="C19" s="79"/>
      <c r="D19" s="79"/>
      <c r="E19" s="79"/>
      <c r="F19" s="56" t="str">
        <f>IF(OR(LEFT($B18,1)=LEFT(F$5,1),RIGHT($B18,1)&lt;&gt;RIGHT(F$5,1)),"-",IF($B18=F$5,"-",IF($B18&lt;F$5,VLOOKUP(F18,'Match Results'!$A:$N,6,FALSE)&amp;" - "&amp;VLOOKUP(F18,'Match Results'!$A:$N,7,FALSE),VLOOKUP(F18,'Match Results'!$A:$N,7,FALSE)&amp;" - "&amp;VLOOKUP(F18,'Match Results'!$A:$N,6,FALSE))))</f>
        <v>21 - 20</v>
      </c>
      <c r="G19" s="79"/>
      <c r="H19" s="56" t="str">
        <f>IF(OR(LEFT($B18,1)=LEFT(H$5,1),RIGHT($B18,1)&lt;&gt;RIGHT(H$5,1)),"-",IF($B18=H$5,"-",IF($B18&lt;H$5,VLOOKUP(H18,'Match Results'!$A:$N,6,FALSE)&amp;" - "&amp;VLOOKUP(H18,'Match Results'!$A:$N,7,FALSE),VLOOKUP(H18,'Match Results'!$A:$N,7,FALSE)&amp;" - "&amp;VLOOKUP(H18,'Match Results'!$A:$N,6,FALSE))))</f>
        <v>21 - 18</v>
      </c>
      <c r="I19" s="79"/>
      <c r="J19" s="56" t="str">
        <f>IF(OR(LEFT($B18,1)=LEFT(J$5,1),RIGHT($B18,1)&lt;&gt;RIGHT(J$5,1)),"-",IF($B18=J$5,"-",IF($B18&lt;J$5,VLOOKUP(J18,'Match Results'!$A:$N,6,FALSE)&amp;" - "&amp;VLOOKUP(J18,'Match Results'!$A:$N,7,FALSE),VLOOKUP(J18,'Match Results'!$A:$N,7,FALSE)&amp;" - "&amp;VLOOKUP(J18,'Match Results'!$A:$N,6,FALSE))))</f>
        <v>21 - 20</v>
      </c>
      <c r="K19" s="88"/>
      <c r="L19" s="88"/>
    </row>
    <row r="20" spans="1:12" ht="20.100000000000001" customHeight="1" x14ac:dyDescent="0.25">
      <c r="A20" s="77"/>
      <c r="B20" s="81"/>
      <c r="C20" s="80"/>
      <c r="D20" s="80"/>
      <c r="E20" s="80"/>
      <c r="F20" s="54" t="str">
        <f>IF(OR(LEFT($B18,1)=LEFT(F$5,1),RIGHT($B18,1)&lt;&gt;RIGHT(F$5,1)),"-",IF($B18=F$5,"-",IF($B18&lt;F$5,VLOOKUP(F18,'Match Results'!$A:$N,9,FALSE)&amp;" - "&amp;VLOOKUP(F18,'Match Results'!$A:$N,10,FALSE),VLOOKUP(F18,'Match Results'!$A:$N,10,FALSE)&amp;" - "&amp;VLOOKUP(F18,'Match Results'!$A:$N,9,FALSE))))</f>
        <v>21 - 19</v>
      </c>
      <c r="G20" s="80"/>
      <c r="H20" s="54" t="str">
        <f>IF(OR(LEFT($B18,1)=LEFT(H$5,1),RIGHT($B18,1)&lt;&gt;RIGHT(H$5,1)),"-",IF($B18=H$5,"-",IF($B18&lt;H$5,VLOOKUP(H18,'Match Results'!$A:$N,9,FALSE)&amp;" - "&amp;VLOOKUP(H18,'Match Results'!$A:$N,10,FALSE),VLOOKUP(H18,'Match Results'!$A:$N,10,FALSE)&amp;" - "&amp;VLOOKUP(H18,'Match Results'!$A:$N,9,FALSE))))</f>
        <v>21 - 16</v>
      </c>
      <c r="I20" s="80"/>
      <c r="J20" s="54" t="str">
        <f>IF(OR(LEFT($B18,1)=LEFT(J$5,1),RIGHT($B18,1)&lt;&gt;RIGHT(J$5,1)),"-",IF($B18=J$5,"-",IF($B18&lt;J$5,VLOOKUP(J18,'Match Results'!$A:$N,9,FALSE)&amp;" - "&amp;VLOOKUP(J18,'Match Results'!$A:$N,10,FALSE),VLOOKUP(J18,'Match Results'!$A:$N,10,FALSE)&amp;" - "&amp;VLOOKUP(J18,'Match Results'!$A:$N,9,FALSE))))</f>
        <v>8 - 21</v>
      </c>
      <c r="K20" s="86"/>
      <c r="L20" s="86"/>
    </row>
    <row r="21" spans="1:12" ht="20.100000000000001" customHeight="1" x14ac:dyDescent="0.25">
      <c r="A21" s="75" t="str">
        <f>VLOOKUP(LEFT(B21,1)&amp;$A$4&amp;RIGHT(B21,1),Players!$C:$H,2,FALSE)&amp;" ("&amp;VLOOKUP(LEFT(B21,1)&amp;$A$4&amp;RIGHT(B21,1),Players!$C:$H,3,FALSE)&amp;")"&amp;CHAR(10)&amp;VLOOKUP(LEFT(B21,1)&amp;$A$4&amp;RIGHT(B21,1),Players!$C:$H,4,FALSE)&amp;" ("&amp;VLOOKUP(LEFT(B21,1)&amp;$A$4&amp;RIGHT(B21,1),Players!$C:$H,5,FALSE)&amp;")"</f>
        <v>Andy Foy (Forest)
Lesley Fryer (Forest)</v>
      </c>
      <c r="B21" s="81" t="s">
        <v>3</v>
      </c>
      <c r="C21" s="83" t="s">
        <v>89</v>
      </c>
      <c r="D21" s="53" t="str">
        <f>IF(OR(LEFT($B21,1)=LEFT(D$5,1),RIGHT($B21,1)&lt;&gt;RIGHT(D$5,1)),"-",$A$4&amp;RIGHT($B21)&amp;IF(LEFT($B21,1)&lt;LEFT(D$5,1),VLOOKUP(LEFT($B21,1)&amp;" v "&amp;LEFT(D$5,1),Matches!$B:$K,10,FALSE),VLOOKUP(LEFT(D$5,1)&amp;" v "&amp;LEFT($B21,1),Matches!$B:$K,10,FALSE)))</f>
        <v>MxB1</v>
      </c>
      <c r="E21" s="83" t="s">
        <v>89</v>
      </c>
      <c r="F21" s="83" t="s">
        <v>89</v>
      </c>
      <c r="G21" s="83" t="s">
        <v>89</v>
      </c>
      <c r="H21" s="53" t="str">
        <f>IF(OR(LEFT($B21,1)=LEFT(H$5,1),RIGHT($B21,1)&lt;&gt;RIGHT(H$5,1)),"-",$A$4&amp;RIGHT($B21)&amp;IF(LEFT($B21,1)&lt;LEFT(H$5,1),VLOOKUP(LEFT($B21,1)&amp;" v "&amp;LEFT(H$5,1),Matches!$B:$K,10,FALSE),VLOOKUP(LEFT(H$5,1)&amp;" v "&amp;LEFT($B21,1),Matches!$B:$K,10,FALSE)))</f>
        <v>MxB3</v>
      </c>
      <c r="I21" s="83" t="s">
        <v>89</v>
      </c>
      <c r="J21" s="53" t="str">
        <f>IF(OR(LEFT($B21,1)=LEFT(J$5,1),RIGHT($B21,1)&lt;&gt;RIGHT(J$5,1)),"-",$A$4&amp;RIGHT($B21)&amp;IF(LEFT($B21,1)&lt;LEFT(J$5,1),VLOOKUP(LEFT($B21,1)&amp;" v "&amp;LEFT(J$5,1),Matches!$B:$K,10,FALSE),VLOOKUP(LEFT(J$5,1)&amp;" v "&amp;LEFT($B21,1),Matches!$B:$K,10,FALSE)))</f>
        <v>MxB5</v>
      </c>
      <c r="K21" s="87" t="str">
        <f>IF(OR(LEFT($B21,1)=LEFT(D$5,1),RIGHT($B21,1)&lt;&gt;RIGHT(D$5,1)),"-",IF($B21=D$5,"-",IF($B21&lt;D$5,VLOOKUP(D21,'Match Results'!$A:$N,12,FALSE),VLOOKUP(D21,'Match Results'!$A:$N,13,FALSE))))&amp;"  "&amp;IF(OR(LEFT($B21,1)=LEFT(H$5,1),RIGHT($B21,1)&lt;&gt;RIGHT(H$5,1)),"-",IF($B21=H$5,"-",IF($B21&lt;H$5,VLOOKUP(H21,'Match Results'!$A:$N,12,FALSE),VLOOKUP(H21,'Match Results'!$A:$N,13,FALSE))))&amp;"  "&amp;IF(OR(LEFT($B21,1)=LEFT(J$5,1),RIGHT($B21,1)&lt;&gt;RIGHT(J$5,1)),"-",IF($B21=J$5,"-",IF($B21&lt;J$5,VLOOKUP(J21,'Match Results'!$A:$N,12,FALSE),VLOOKUP(J21,'Match Results'!$A:$N,13,FALSE))))</f>
        <v>0  0  0</v>
      </c>
      <c r="L21" s="87">
        <f>IF(OR(LEFT($B21,1)=LEFT(D$5,1),RIGHT($B21,1)&lt;&gt;RIGHT(D$5,1)),"-",IF($B21=D$5,"-",IF($B21&lt;D$5,VLOOKUP(D21,'Match Results'!$A:$N,12,FALSE),VLOOKUP(D21,'Match Results'!$A:$N,13,FALSE))))+IF(OR(LEFT($B21,1)=LEFT(H$5,1),RIGHT($B21,1)&lt;&gt;RIGHT(H$5,1)),"-",IF($B21=H$5,"-",IF($B21&lt;H$5,VLOOKUP(H21,'Match Results'!$A:$N,12,FALSE),VLOOKUP(H21,'Match Results'!$A:$N,13,FALSE))))+IF(OR(LEFT($B21,1)=LEFT(J$5,1),RIGHT($B21,1)&lt;&gt;RIGHT(J$5,1)),"-",IF($B21=J$5,"-",IF($B21&lt;J$5,VLOOKUP(J21,'Match Results'!$A:$N,12,FALSE),VLOOKUP(J21,'Match Results'!$A:$N,13,FALSE))))</f>
        <v>0</v>
      </c>
    </row>
    <row r="22" spans="1:12" ht="20.100000000000001" customHeight="1" x14ac:dyDescent="0.25">
      <c r="A22" s="76"/>
      <c r="B22" s="81"/>
      <c r="C22" s="79"/>
      <c r="D22" s="56" t="str">
        <f>IF(OR(LEFT($B21,1)=LEFT(D$5,1),RIGHT($B21,1)&lt;&gt;RIGHT(D$5,1)),"-",IF($B21=D$5,"-",IF($B21&lt;D$5,VLOOKUP(D21,'Match Results'!$A:$N,6,FALSE)&amp;" - "&amp;VLOOKUP(D21,'Match Results'!$A:$N,7,FALSE),VLOOKUP(D21,'Match Results'!$A:$N,7,FALSE)&amp;" - "&amp;VLOOKUP(D21,'Match Results'!$A:$N,6,FALSE))))</f>
        <v>20 - 21</v>
      </c>
      <c r="E22" s="79"/>
      <c r="F22" s="79"/>
      <c r="G22" s="79"/>
      <c r="H22" s="56" t="str">
        <f>IF(OR(LEFT($B21,1)=LEFT(H$5,1),RIGHT($B21,1)&lt;&gt;RIGHT(H$5,1)),"-",IF($B21=H$5,"-",IF($B21&lt;H$5,VLOOKUP(H21,'Match Results'!$A:$N,6,FALSE)&amp;" - "&amp;VLOOKUP(H21,'Match Results'!$A:$N,7,FALSE),VLOOKUP(H21,'Match Results'!$A:$N,7,FALSE)&amp;" - "&amp;VLOOKUP(H21,'Match Results'!$A:$N,6,FALSE))))</f>
        <v>13 - 21</v>
      </c>
      <c r="I22" s="79"/>
      <c r="J22" s="56" t="str">
        <f>IF(OR(LEFT($B21,1)=LEFT(J$5,1),RIGHT($B21,1)&lt;&gt;RIGHT(J$5,1)),"-",IF($B21=J$5,"-",IF($B21&lt;J$5,VLOOKUP(J21,'Match Results'!$A:$N,6,FALSE)&amp;" - "&amp;VLOOKUP(J21,'Match Results'!$A:$N,7,FALSE),VLOOKUP(J21,'Match Results'!$A:$N,7,FALSE)&amp;" - "&amp;VLOOKUP(J21,'Match Results'!$A:$N,6,FALSE))))</f>
        <v>9 - 21</v>
      </c>
      <c r="K22" s="88"/>
      <c r="L22" s="88"/>
    </row>
    <row r="23" spans="1:12" ht="20.100000000000001" customHeight="1" x14ac:dyDescent="0.25">
      <c r="A23" s="77"/>
      <c r="B23" s="81"/>
      <c r="C23" s="80"/>
      <c r="D23" s="54" t="str">
        <f>IF(OR(LEFT($B21,1)=LEFT(D$5,1),RIGHT($B21,1)&lt;&gt;RIGHT(D$5,1)),"-",IF($B21=D$5,"-",IF($B21&lt;D$5,VLOOKUP(D21,'Match Results'!$A:$N,9,FALSE)&amp;" - "&amp;VLOOKUP(D21,'Match Results'!$A:$N,10,FALSE),VLOOKUP(D21,'Match Results'!$A:$N,10,FALSE)&amp;" - "&amp;VLOOKUP(D21,'Match Results'!$A:$N,9,FALSE))))</f>
        <v>19 - 21</v>
      </c>
      <c r="E23" s="80"/>
      <c r="F23" s="80"/>
      <c r="G23" s="80"/>
      <c r="H23" s="54" t="str">
        <f>IF(OR(LEFT($B21,1)=LEFT(H$5,1),RIGHT($B21,1)&lt;&gt;RIGHT(H$5,1)),"-",IF($B21=H$5,"-",IF($B21&lt;H$5,VLOOKUP(H21,'Match Results'!$A:$N,9,FALSE)&amp;" - "&amp;VLOOKUP(H21,'Match Results'!$A:$N,10,FALSE),VLOOKUP(H21,'Match Results'!$A:$N,10,FALSE)&amp;" - "&amp;VLOOKUP(H21,'Match Results'!$A:$N,9,FALSE))))</f>
        <v>20 - 21</v>
      </c>
      <c r="I23" s="80"/>
      <c r="J23" s="54" t="str">
        <f>IF(OR(LEFT($B21,1)=LEFT(J$5,1),RIGHT($B21,1)&lt;&gt;RIGHT(J$5,1)),"-",IF($B21=J$5,"-",IF($B21&lt;J$5,VLOOKUP(J21,'Match Results'!$A:$N,9,FALSE)&amp;" - "&amp;VLOOKUP(J21,'Match Results'!$A:$N,10,FALSE),VLOOKUP(J21,'Match Results'!$A:$N,10,FALSE)&amp;" - "&amp;VLOOKUP(J21,'Match Results'!$A:$N,9,FALSE))))</f>
        <v>19 - 21</v>
      </c>
      <c r="K23" s="86"/>
      <c r="L23" s="86"/>
    </row>
    <row r="24" spans="1:12" ht="20.100000000000001" customHeight="1" x14ac:dyDescent="0.25">
      <c r="A24" s="75" t="str">
        <f>VLOOKUP(LEFT(B24,1)&amp;$A$4&amp;RIGHT(B24,1),Players!$C:$H,2,FALSE)&amp;" ("&amp;VLOOKUP(LEFT(B24,1)&amp;$A$4&amp;RIGHT(B24,1),Players!$C:$H,3,FALSE)&amp;")"&amp;CHAR(10)&amp;VLOOKUP(LEFT(B24,1)&amp;$A$4&amp;RIGHT(B24,1),Players!$C:$H,4,FALSE)&amp;" ("&amp;VLOOKUP(LEFT(B24,1)&amp;$A$4&amp;RIGHT(B24,1),Players!$C:$H,5,FALSE)&amp;")"</f>
        <v>Jahangir Hussain (Cheadle Hulme)
Helen Yates (Blue Triangle)</v>
      </c>
      <c r="B24" s="81" t="s">
        <v>5</v>
      </c>
      <c r="C24" s="83" t="s">
        <v>89</v>
      </c>
      <c r="D24" s="53" t="str">
        <f>IF(OR(LEFT($B24,1)=LEFT(D$5,1),RIGHT($B24,1)&lt;&gt;RIGHT(D$5,1)),"-",$A$4&amp;RIGHT($B24)&amp;IF(LEFT($B24,1)&lt;LEFT(D$5,1),VLOOKUP(LEFT($B24,1)&amp;" v "&amp;LEFT(D$5,1),Matches!$B:$K,10,FALSE),VLOOKUP(LEFT(D$5,1)&amp;" v "&amp;LEFT($B24,1),Matches!$B:$K,10,FALSE)))</f>
        <v>MxB6</v>
      </c>
      <c r="E24" s="83" t="s">
        <v>89</v>
      </c>
      <c r="F24" s="53" t="str">
        <f>IF(OR(LEFT($B24,1)=LEFT(F$5,1),RIGHT($B24,1)&lt;&gt;RIGHT(F$5,1)),"-",$A$4&amp;RIGHT($B24)&amp;IF(LEFT($B24,1)&lt;LEFT(F$5,1),VLOOKUP(LEFT($B24,1)&amp;" v "&amp;LEFT(F$5,1),Matches!$B:$K,10,FALSE),VLOOKUP(LEFT(F$5,1)&amp;" v "&amp;LEFT($B24,1),Matches!$B:$K,10,FALSE)))</f>
        <v>MxB3</v>
      </c>
      <c r="G24" s="83" t="s">
        <v>89</v>
      </c>
      <c r="H24" s="83" t="s">
        <v>89</v>
      </c>
      <c r="I24" s="83" t="s">
        <v>89</v>
      </c>
      <c r="J24" s="53" t="str">
        <f>IF(OR(LEFT($B24,1)=LEFT(J$5,1),RIGHT($B24,1)&lt;&gt;RIGHT(J$5,1)),"-",$A$4&amp;RIGHT($B24)&amp;IF(LEFT($B24,1)&lt;LEFT(J$5,1),VLOOKUP(LEFT($B24,1)&amp;" v "&amp;LEFT(J$5,1),Matches!$B:$K,10,FALSE),VLOOKUP(LEFT(J$5,1)&amp;" v "&amp;LEFT($B24,1),Matches!$B:$K,10,FALSE)))</f>
        <v>MxB2</v>
      </c>
      <c r="K24" s="87" t="str">
        <f>IF(OR(LEFT($B24,1)=LEFT(D$5,1),RIGHT($B24,1)&lt;&gt;RIGHT(D$5,1)),"-",IF($B24=D$5,"-",IF($B24&lt;D$5,VLOOKUP(D24,'Match Results'!$A:$N,12,FALSE),VLOOKUP(D24,'Match Results'!$A:$N,13,FALSE))))&amp;"  "&amp;IF(OR(LEFT($B24,1)=LEFT(F$5,1),RIGHT($B24,1)&lt;&gt;RIGHT(F$5,1)),"-",IF($B24=F$5,"-",IF($B24&lt;F$5,VLOOKUP(F24,'Match Results'!$A:$N,12,FALSE),VLOOKUP(F24,'Match Results'!$A:$N,13,FALSE))))&amp;"  "&amp;IF(OR(LEFT($B24,1)=LEFT(J$5,1),RIGHT($B24,1)&lt;&gt;RIGHT(J$5,1)),"-",IF($B24=J$5,"-",IF($B24&lt;J$5,VLOOKUP(J24,'Match Results'!$A:$N,12,FALSE),VLOOKUP(J24,'Match Results'!$A:$N,13,FALSE))))</f>
        <v>0  2  0</v>
      </c>
      <c r="L24" s="87">
        <f>IF(OR(LEFT($B24,1)=LEFT(D$5,1),RIGHT($B24,1)&lt;&gt;RIGHT(D$5,1)),"-",IF($B24=D$5,"-",IF($B24&lt;D$5,VLOOKUP(D24,'Match Results'!$A:$N,12,FALSE),VLOOKUP(D24,'Match Results'!$A:$N,13,FALSE))))+IF(OR(LEFT($B24,1)=LEFT(F$5,1),RIGHT($B24,1)&lt;&gt;RIGHT(F$5,1)),"-",IF($B24=F$5,"-",IF($B24&lt;F$5,VLOOKUP(F24,'Match Results'!$A:$N,12,FALSE),VLOOKUP(F24,'Match Results'!$A:$N,13,FALSE))))+IF(OR(LEFT($B24,1)=LEFT(J$5,1),RIGHT($B24,1)&lt;&gt;RIGHT(J$5,1)),"-",IF($B24=J$5,"-",IF($B24&lt;J$5,VLOOKUP(J24,'Match Results'!$A:$N,12,FALSE),VLOOKUP(J24,'Match Results'!$A:$N,13,FALSE))))</f>
        <v>2</v>
      </c>
    </row>
    <row r="25" spans="1:12" ht="20.100000000000001" customHeight="1" x14ac:dyDescent="0.25">
      <c r="A25" s="76"/>
      <c r="B25" s="81"/>
      <c r="C25" s="79"/>
      <c r="D25" s="56" t="str">
        <f>IF(OR(LEFT($B24,1)=LEFT(D$5,1),RIGHT($B24,1)&lt;&gt;RIGHT(D$5,1)),"-",IF($B24=D$5,"-",IF($B24&lt;D$5,VLOOKUP(D24,'Match Results'!$A:$N,6,FALSE)&amp;" - "&amp;VLOOKUP(D24,'Match Results'!$A:$N,7,FALSE),VLOOKUP(D24,'Match Results'!$A:$N,7,FALSE)&amp;" - "&amp;VLOOKUP(D24,'Match Results'!$A:$N,6,FALSE))))</f>
        <v>18 - 21</v>
      </c>
      <c r="E25" s="79"/>
      <c r="F25" s="56" t="str">
        <f>IF(OR(LEFT($B24,1)=LEFT(F$5,1),RIGHT($B24,1)&lt;&gt;RIGHT(F$5,1)),"-",IF($B24=F$5,"-",IF($B24&lt;F$5,VLOOKUP(F24,'Match Results'!$A:$N,6,FALSE)&amp;" - "&amp;VLOOKUP(F24,'Match Results'!$A:$N,7,FALSE),VLOOKUP(F24,'Match Results'!$A:$N,7,FALSE)&amp;" - "&amp;VLOOKUP(F24,'Match Results'!$A:$N,6,FALSE))))</f>
        <v>21 - 13</v>
      </c>
      <c r="G25" s="79"/>
      <c r="H25" s="79"/>
      <c r="I25" s="79"/>
      <c r="J25" s="56" t="str">
        <f>IF(OR(LEFT($B24,1)=LEFT(J$5,1),RIGHT($B24,1)&lt;&gt;RIGHT(J$5,1)),"-",IF($B24=J$5,"-",IF($B24&lt;J$5,VLOOKUP(J24,'Match Results'!$A:$N,6,FALSE)&amp;" - "&amp;VLOOKUP(J24,'Match Results'!$A:$N,7,FALSE),VLOOKUP(J24,'Match Results'!$A:$N,7,FALSE)&amp;" - "&amp;VLOOKUP(J24,'Match Results'!$A:$N,6,FALSE))))</f>
        <v>20 - 21</v>
      </c>
      <c r="K25" s="88"/>
      <c r="L25" s="88"/>
    </row>
    <row r="26" spans="1:12" ht="20.100000000000001" customHeight="1" x14ac:dyDescent="0.25">
      <c r="A26" s="77"/>
      <c r="B26" s="81"/>
      <c r="C26" s="80"/>
      <c r="D26" s="54" t="str">
        <f>IF(OR(LEFT($B24,1)=LEFT(D$5,1),RIGHT($B24,1)&lt;&gt;RIGHT(D$5,1)),"-",IF($B24=D$5,"-",IF($B24&lt;D$5,VLOOKUP(D24,'Match Results'!$A:$N,9,FALSE)&amp;" - "&amp;VLOOKUP(D24,'Match Results'!$A:$N,10,FALSE),VLOOKUP(D24,'Match Results'!$A:$N,10,FALSE)&amp;" - "&amp;VLOOKUP(D24,'Match Results'!$A:$N,9,FALSE))))</f>
        <v>16 - 21</v>
      </c>
      <c r="E26" s="80"/>
      <c r="F26" s="54" t="str">
        <f>IF(OR(LEFT($B24,1)=LEFT(F$5,1),RIGHT($B24,1)&lt;&gt;RIGHT(F$5,1)),"-",IF($B24=F$5,"-",IF($B24&lt;F$5,VLOOKUP(F24,'Match Results'!$A:$N,9,FALSE)&amp;" - "&amp;VLOOKUP(F24,'Match Results'!$A:$N,10,FALSE),VLOOKUP(F24,'Match Results'!$A:$N,10,FALSE)&amp;" - "&amp;VLOOKUP(F24,'Match Results'!$A:$N,9,FALSE))))</f>
        <v>21 - 20</v>
      </c>
      <c r="G26" s="80"/>
      <c r="H26" s="80"/>
      <c r="I26" s="80"/>
      <c r="J26" s="54" t="str">
        <f>IF(OR(LEFT($B24,1)=LEFT(J$5,1),RIGHT($B24,1)&lt;&gt;RIGHT(J$5,1)),"-",IF($B24=J$5,"-",IF($B24&lt;J$5,VLOOKUP(J24,'Match Results'!$A:$N,9,FALSE)&amp;" - "&amp;VLOOKUP(J24,'Match Results'!$A:$N,10,FALSE),VLOOKUP(J24,'Match Results'!$A:$N,10,FALSE)&amp;" - "&amp;VLOOKUP(J24,'Match Results'!$A:$N,9,FALSE))))</f>
        <v>11 - 21</v>
      </c>
      <c r="K26" s="86"/>
      <c r="L26" s="86"/>
    </row>
    <row r="27" spans="1:12" ht="20.100000000000001" customHeight="1" x14ac:dyDescent="0.25">
      <c r="A27" s="75" t="str">
        <f>VLOOKUP(LEFT(B27,1)&amp;$A$4&amp;RIGHT(B27,1),Players!$C:$H,2,FALSE)&amp;" ("&amp;VLOOKUP(LEFT(B27,1)&amp;$A$4&amp;RIGHT(B27,1),Players!$C:$H,3,FALSE)&amp;")"&amp;CHAR(10)&amp;VLOOKUP(LEFT(B27,1)&amp;$A$4&amp;RIGHT(B27,1),Players!$C:$H,4,FALSE)&amp;" ("&amp;VLOOKUP(LEFT(B27,1)&amp;$A$4&amp;RIGHT(B27,1),Players!$C:$H,5,FALSE)&amp;")"</f>
        <v>Roshan Jahangir (Cheadle Hulme)
Janine Lancashire (Cheadle Hulme)</v>
      </c>
      <c r="B27" s="81" t="s">
        <v>36</v>
      </c>
      <c r="C27" s="83" t="s">
        <v>89</v>
      </c>
      <c r="D27" s="53" t="str">
        <f>IF(OR(LEFT($B27,1)=LEFT(D$5,1),RIGHT($B27,1)&lt;&gt;RIGHT(D$5,1)),"-",$A$4&amp;RIGHT($B27)&amp;IF(LEFT($B27,1)&lt;LEFT(D$5,1),VLOOKUP(LEFT($B27,1)&amp;" v "&amp;LEFT(D$5,1),Matches!$B:$K,10,FALSE),VLOOKUP(LEFT(D$5,1)&amp;" v "&amp;LEFT($B27,1),Matches!$B:$K,10,FALSE)))</f>
        <v>MxB4</v>
      </c>
      <c r="E27" s="83" t="s">
        <v>89</v>
      </c>
      <c r="F27" s="53" t="str">
        <f>IF(OR(LEFT($B27,1)=LEFT(F$5,1),RIGHT($B27,1)&lt;&gt;RIGHT(F$5,1)),"-",$A$4&amp;RIGHT($B27)&amp;IF(LEFT($B27,1)&lt;LEFT(F$5,1),VLOOKUP(LEFT($B27,1)&amp;" v "&amp;LEFT(F$5,1),Matches!$B:$K,10,FALSE),VLOOKUP(LEFT(F$5,1)&amp;" v "&amp;LEFT($B27,1),Matches!$B:$K,10,FALSE)))</f>
        <v>MxB5</v>
      </c>
      <c r="G27" s="83" t="s">
        <v>89</v>
      </c>
      <c r="H27" s="53" t="str">
        <f>IF(OR(LEFT($B27,1)=LEFT(H$5,1),RIGHT($B27,1)&lt;&gt;RIGHT(H$5,1)),"-",$A$4&amp;RIGHT($B27)&amp;IF(LEFT($B27,1)&lt;LEFT(H$5,1),VLOOKUP(LEFT($B27,1)&amp;" v "&amp;LEFT(H$5,1),Matches!$B:$K,10,FALSE),VLOOKUP(LEFT(H$5,1)&amp;" v "&amp;LEFT($B27,1),Matches!$B:$K,10,FALSE)))</f>
        <v>MxB2</v>
      </c>
      <c r="I27" s="83" t="s">
        <v>89</v>
      </c>
      <c r="J27" s="83" t="s">
        <v>89</v>
      </c>
      <c r="K27" s="87" t="str">
        <f>IF(OR(LEFT($B27,1)=LEFT(D$5,1),RIGHT($B27,1)&lt;&gt;RIGHT(D$5,1)),"-",IF($B27=D$5,"-",IF($B27&lt;D$5,VLOOKUP(D27,'Match Results'!$A:$N,12,FALSE),VLOOKUP(D27,'Match Results'!$A:$N,13,FALSE))))&amp;"  "&amp;IF(OR(LEFT($B27,1)=LEFT(F$5,1),RIGHT($B27,1)&lt;&gt;RIGHT(F$5,1)),"-",IF($B27=F$5,"-",IF($B27&lt;F$5,VLOOKUP(F27,'Match Results'!$A:$N,12,FALSE),VLOOKUP(F27,'Match Results'!$A:$N,13,FALSE))))&amp;"  "&amp;IF(OR(LEFT($B27,1)=LEFT(H$5,1),RIGHT($B27,1)&lt;&gt;RIGHT(H$5,1)),"-",IF($B27=H$5,"-",IF($B27&lt;H$5,VLOOKUP(H27,'Match Results'!$A:$N,12,FALSE),VLOOKUP(H27,'Match Results'!$A:$N,13,FALSE))))</f>
        <v>1  2  2</v>
      </c>
      <c r="L27" s="87">
        <f>IF(OR(LEFT($B27,1)=LEFT(D$5,1),RIGHT($B27,1)&lt;&gt;RIGHT(D$5,1)),"-",IF($B27=D$5,"-",IF($B27&lt;D$5,VLOOKUP(D27,'Match Results'!$A:$N,12,FALSE),VLOOKUP(D27,'Match Results'!$A:$N,13,FALSE))))+IF(OR(LEFT($B27,1)=LEFT(F$5,1),RIGHT($B27,1)&lt;&gt;RIGHT(F$5,1)),"-",IF($B27=F$5,"-",IF($B27&lt;F$5,VLOOKUP(F27,'Match Results'!$A:$N,12,FALSE),VLOOKUP(F27,'Match Results'!$A:$N,13,FALSE))))+IF(OR(LEFT($B27,1)=LEFT(H$5,1),RIGHT($B27,1)&lt;&gt;RIGHT(H$5,1)),"-",IF($B27=H$5,"-",IF($B27&lt;H$5,VLOOKUP(H27,'Match Results'!$A:$N,12,FALSE),VLOOKUP(H27,'Match Results'!$A:$N,13,FALSE))))</f>
        <v>5</v>
      </c>
    </row>
    <row r="28" spans="1:12" ht="20.100000000000001" customHeight="1" x14ac:dyDescent="0.25">
      <c r="A28" s="76"/>
      <c r="B28" s="81"/>
      <c r="C28" s="79"/>
      <c r="D28" s="56" t="str">
        <f>IF(OR(LEFT($B27,1)=LEFT(D$5,1),RIGHT($B27,1)&lt;&gt;RIGHT(D$5,1)),"-",IF($B27=D$5,"-",IF($B27&lt;D$5,VLOOKUP(D27,'Match Results'!$A:$N,6,FALSE)&amp;" - "&amp;VLOOKUP(D27,'Match Results'!$A:$N,7,FALSE),VLOOKUP(D27,'Match Results'!$A:$N,7,FALSE)&amp;" - "&amp;VLOOKUP(D27,'Match Results'!$A:$N,6,FALSE))))</f>
        <v>20 - 21</v>
      </c>
      <c r="E28" s="79"/>
      <c r="F28" s="56" t="str">
        <f>IF(OR(LEFT($B27,1)=LEFT(F$5,1),RIGHT($B27,1)&lt;&gt;RIGHT(F$5,1)),"-",IF($B27=F$5,"-",IF($B27&lt;F$5,VLOOKUP(F27,'Match Results'!$A:$N,6,FALSE)&amp;" - "&amp;VLOOKUP(F27,'Match Results'!$A:$N,7,FALSE),VLOOKUP(F27,'Match Results'!$A:$N,7,FALSE)&amp;" - "&amp;VLOOKUP(F27,'Match Results'!$A:$N,6,FALSE))))</f>
        <v>21 - 9</v>
      </c>
      <c r="G28" s="79"/>
      <c r="H28" s="56" t="str">
        <f>IF(OR(LEFT($B27,1)=LEFT(H$5,1),RIGHT($B27,1)&lt;&gt;RIGHT(H$5,1)),"-",IF($B27=H$5,"-",IF($B27&lt;H$5,VLOOKUP(H27,'Match Results'!$A:$N,6,FALSE)&amp;" - "&amp;VLOOKUP(H27,'Match Results'!$A:$N,7,FALSE),VLOOKUP(H27,'Match Results'!$A:$N,7,FALSE)&amp;" - "&amp;VLOOKUP(H27,'Match Results'!$A:$N,6,FALSE))))</f>
        <v>21 - 20</v>
      </c>
      <c r="I28" s="79"/>
      <c r="J28" s="79"/>
      <c r="K28" s="88"/>
      <c r="L28" s="88"/>
    </row>
    <row r="29" spans="1:12" ht="20.100000000000001" customHeight="1" x14ac:dyDescent="0.25">
      <c r="A29" s="77"/>
      <c r="B29" s="81"/>
      <c r="C29" s="80"/>
      <c r="D29" s="54" t="str">
        <f>IF(OR(LEFT($B27,1)=LEFT(D$5,1),RIGHT($B27,1)&lt;&gt;RIGHT(D$5,1)),"-",IF($B27=D$5,"-",IF($B27&lt;D$5,VLOOKUP(D27,'Match Results'!$A:$N,9,FALSE)&amp;" - "&amp;VLOOKUP(D27,'Match Results'!$A:$N,10,FALSE),VLOOKUP(D27,'Match Results'!$A:$N,10,FALSE)&amp;" - "&amp;VLOOKUP(D27,'Match Results'!$A:$N,9,FALSE))))</f>
        <v>21 - 8</v>
      </c>
      <c r="E29" s="80"/>
      <c r="F29" s="54" t="str">
        <f>IF(OR(LEFT($B27,1)=LEFT(F$5,1),RIGHT($B27,1)&lt;&gt;RIGHT(F$5,1)),"-",IF($B27=F$5,"-",IF($B27&lt;F$5,VLOOKUP(F27,'Match Results'!$A:$N,9,FALSE)&amp;" - "&amp;VLOOKUP(F27,'Match Results'!$A:$N,10,FALSE),VLOOKUP(F27,'Match Results'!$A:$N,10,FALSE)&amp;" - "&amp;VLOOKUP(F27,'Match Results'!$A:$N,9,FALSE))))</f>
        <v>21 - 19</v>
      </c>
      <c r="G29" s="80"/>
      <c r="H29" s="54" t="str">
        <f>IF(OR(LEFT($B27,1)=LEFT(H$5,1),RIGHT($B27,1)&lt;&gt;RIGHT(H$5,1)),"-",IF($B27=H$5,"-",IF($B27&lt;H$5,VLOOKUP(H27,'Match Results'!$A:$N,9,FALSE)&amp;" - "&amp;VLOOKUP(H27,'Match Results'!$A:$N,10,FALSE),VLOOKUP(H27,'Match Results'!$A:$N,10,FALSE)&amp;" - "&amp;VLOOKUP(H27,'Match Results'!$A:$N,9,FALSE))))</f>
        <v>21 - 11</v>
      </c>
      <c r="I29" s="80"/>
      <c r="J29" s="80"/>
      <c r="K29" s="86"/>
      <c r="L29" s="86"/>
    </row>
  </sheetData>
  <sheetProtection sheet="1" objects="1" scenarios="1"/>
  <mergeCells count="72">
    <mergeCell ref="A18:A20"/>
    <mergeCell ref="B18:B20"/>
    <mergeCell ref="D18:D20"/>
    <mergeCell ref="K18:K20"/>
    <mergeCell ref="L18:L20"/>
    <mergeCell ref="C18:C20"/>
    <mergeCell ref="E18:E20"/>
    <mergeCell ref="G18:G20"/>
    <mergeCell ref="I18:I20"/>
    <mergeCell ref="A6:A8"/>
    <mergeCell ref="B6:B8"/>
    <mergeCell ref="C6:C8"/>
    <mergeCell ref="K6:K8"/>
    <mergeCell ref="L6:L8"/>
    <mergeCell ref="F6:F8"/>
    <mergeCell ref="H6:H8"/>
    <mergeCell ref="J6:J8"/>
    <mergeCell ref="D6:D8"/>
    <mergeCell ref="A9:A11"/>
    <mergeCell ref="B9:B11"/>
    <mergeCell ref="E9:E11"/>
    <mergeCell ref="K9:K11"/>
    <mergeCell ref="L9:L11"/>
    <mergeCell ref="D9:D11"/>
    <mergeCell ref="F9:F11"/>
    <mergeCell ref="H9:H11"/>
    <mergeCell ref="J9:J11"/>
    <mergeCell ref="A21:A23"/>
    <mergeCell ref="B21:B23"/>
    <mergeCell ref="F21:F23"/>
    <mergeCell ref="K21:K23"/>
    <mergeCell ref="L21:L23"/>
    <mergeCell ref="C21:C23"/>
    <mergeCell ref="E21:E23"/>
    <mergeCell ref="G21:G23"/>
    <mergeCell ref="I21:I23"/>
    <mergeCell ref="A12:A14"/>
    <mergeCell ref="B12:B14"/>
    <mergeCell ref="G12:G14"/>
    <mergeCell ref="K12:K14"/>
    <mergeCell ref="L12:L14"/>
    <mergeCell ref="D12:D14"/>
    <mergeCell ref="F12:F14"/>
    <mergeCell ref="H12:H14"/>
    <mergeCell ref="J12:J14"/>
    <mergeCell ref="A24:A26"/>
    <mergeCell ref="B24:B26"/>
    <mergeCell ref="H24:H26"/>
    <mergeCell ref="K24:K26"/>
    <mergeCell ref="L24:L26"/>
    <mergeCell ref="C24:C26"/>
    <mergeCell ref="E24:E26"/>
    <mergeCell ref="G24:G26"/>
    <mergeCell ref="I24:I26"/>
    <mergeCell ref="A15:A17"/>
    <mergeCell ref="B15:B17"/>
    <mergeCell ref="I15:I17"/>
    <mergeCell ref="K15:K17"/>
    <mergeCell ref="L15:L17"/>
    <mergeCell ref="D15:D17"/>
    <mergeCell ref="F15:F17"/>
    <mergeCell ref="H15:H17"/>
    <mergeCell ref="J15:J17"/>
    <mergeCell ref="A27:A29"/>
    <mergeCell ref="B27:B29"/>
    <mergeCell ref="J27:J29"/>
    <mergeCell ref="K27:K29"/>
    <mergeCell ref="L27:L29"/>
    <mergeCell ref="C27:C29"/>
    <mergeCell ref="E27:E29"/>
    <mergeCell ref="G27:G29"/>
    <mergeCell ref="I27:I29"/>
  </mergeCells>
  <conditionalFormatting sqref="L6:L29">
    <cfRule type="top10" dxfId="0" priority="1" rank="1"/>
  </conditionalFormatting>
  <pageMargins left="0.78740157480314965" right="0" top="0.59055118110236227" bottom="0" header="0.31496062992125984" footer="0.31496062992125984"/>
  <pageSetup paperSize="9" orientation="landscape" horizontalDpi="300" verticalDpi="300" r:id="rId1"/>
  <ignoredErrors>
    <ignoredError sqref="K19:L2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4:I170"/>
  <sheetViews>
    <sheetView zoomScaleNormal="100" workbookViewId="0"/>
  </sheetViews>
  <sheetFormatPr defaultRowHeight="15" x14ac:dyDescent="0.25"/>
  <cols>
    <col min="1" max="9" width="10.7109375" customWidth="1"/>
    <col min="10" max="10" width="9.140625" customWidth="1"/>
  </cols>
  <sheetData>
    <row r="4" spans="1:9" s="5" customFormat="1" ht="18" x14ac:dyDescent="0.25">
      <c r="A4" s="89" t="s">
        <v>43</v>
      </c>
      <c r="B4" s="89"/>
      <c r="C4" s="89"/>
      <c r="D4" s="89"/>
      <c r="E4" s="89"/>
      <c r="F4" s="89"/>
      <c r="G4" s="89"/>
      <c r="H4" s="89"/>
      <c r="I4" s="89"/>
    </row>
    <row r="5" spans="1:9" s="5" customFormat="1" ht="25.5" x14ac:dyDescent="0.35">
      <c r="A5" s="92" t="s">
        <v>21</v>
      </c>
      <c r="B5" s="92"/>
      <c r="C5" s="92"/>
      <c r="D5" s="92"/>
      <c r="E5" s="92"/>
      <c r="F5" s="92"/>
      <c r="G5" s="92"/>
      <c r="H5" s="92"/>
      <c r="I5" s="92"/>
    </row>
    <row r="6" spans="1:9" s="5" customFormat="1" ht="19.5" x14ac:dyDescent="0.25">
      <c r="A6" s="93" t="s">
        <v>22</v>
      </c>
      <c r="B6" s="93"/>
      <c r="C6" s="93"/>
      <c r="D6" s="93"/>
      <c r="E6" s="93"/>
      <c r="F6" s="93"/>
      <c r="G6" s="93"/>
      <c r="H6" s="93"/>
      <c r="I6" s="93"/>
    </row>
    <row r="7" spans="1:9" s="5" customFormat="1" x14ac:dyDescent="0.25">
      <c r="A7" s="94" t="s">
        <v>23</v>
      </c>
      <c r="B7" s="94"/>
      <c r="C7" s="94"/>
      <c r="D7" s="94"/>
      <c r="E7" s="94"/>
      <c r="F7" s="94"/>
      <c r="G7" s="94"/>
      <c r="H7" s="94"/>
      <c r="I7" s="94"/>
    </row>
    <row r="8" spans="1:9" s="5" customFormat="1" x14ac:dyDescent="0.25">
      <c r="A8" s="6"/>
    </row>
    <row r="9" spans="1:9" s="5" customFormat="1" x14ac:dyDescent="0.25">
      <c r="A9" s="6"/>
    </row>
    <row r="10" spans="1:9" s="5" customFormat="1" ht="18.75" x14ac:dyDescent="0.3">
      <c r="A10" s="9" t="s">
        <v>25</v>
      </c>
      <c r="B10" s="90" t="s">
        <v>6</v>
      </c>
      <c r="C10" s="90"/>
      <c r="D10" s="9" t="s">
        <v>26</v>
      </c>
      <c r="F10" s="13" t="str">
        <f>$B$11&amp;1</f>
        <v>M1</v>
      </c>
      <c r="G10" s="9"/>
      <c r="H10" s="17"/>
    </row>
    <row r="11" spans="1:9" s="5" customFormat="1" x14ac:dyDescent="0.25">
      <c r="A11" s="7"/>
      <c r="B11" s="41" t="s">
        <v>51</v>
      </c>
    </row>
    <row r="12" spans="1:9" s="5" customFormat="1" x14ac:dyDescent="0.25">
      <c r="A12" s="10"/>
    </row>
    <row r="13" spans="1:9" s="11" customFormat="1" x14ac:dyDescent="0.25">
      <c r="A13" s="91" t="s">
        <v>27</v>
      </c>
      <c r="B13" s="91"/>
      <c r="C13" s="15">
        <f>VLOOKUP(RIGHT($F10)*1,Matches!$A:$J,3,FALSE)</f>
        <v>1</v>
      </c>
      <c r="D13" s="14"/>
      <c r="F13" s="91" t="s">
        <v>27</v>
      </c>
      <c r="G13" s="91"/>
      <c r="H13" s="15">
        <f>VLOOKUP(RIGHT($F10)*1,Matches!$A:$J,4,FALSE)</f>
        <v>2</v>
      </c>
      <c r="I13" s="14"/>
    </row>
    <row r="14" spans="1:9" s="11" customFormat="1" x14ac:dyDescent="0.25">
      <c r="A14" s="91" t="s">
        <v>28</v>
      </c>
      <c r="B14" s="91"/>
      <c r="C14" s="15">
        <f>VLOOKUP(RIGHT($F10)*1,Matches!$A:$J,5,FALSE)</f>
        <v>-15</v>
      </c>
      <c r="D14" s="14"/>
      <c r="E14" s="12" t="s">
        <v>24</v>
      </c>
      <c r="F14" s="91" t="s">
        <v>28</v>
      </c>
      <c r="G14" s="91"/>
      <c r="H14" s="15">
        <f>VLOOKUP(RIGHT($F10)*1,Matches!$A:$J,6,FALSE)</f>
        <v>4</v>
      </c>
      <c r="I14" s="14"/>
    </row>
    <row r="15" spans="1:9" s="5" customFormat="1" x14ac:dyDescent="0.25">
      <c r="A15" s="96" t="str">
        <f>VLOOKUP(C13&amp;$B$11,Players!$C:$H,2,FALSE)&amp;" ("&amp;VLOOKUP(C13&amp;$B$11,Players!$C:$H,3,FALSE)&amp;")"</f>
        <v>Jake White (Forest)</v>
      </c>
      <c r="B15" s="96"/>
      <c r="C15" s="96"/>
      <c r="D15" s="96"/>
      <c r="F15" s="96" t="str">
        <f>VLOOKUP(H13&amp;$B$11,Players!$C:$H,2,FALSE)&amp;" ("&amp;VLOOKUP(H13&amp;$B$11,Players!$C:$H,3,FALSE)&amp;")"</f>
        <v>Michael Featherstone (Dome)</v>
      </c>
      <c r="G15" s="96"/>
      <c r="H15" s="96"/>
      <c r="I15" s="96"/>
    </row>
    <row r="16" spans="1:9" s="5" customFormat="1" x14ac:dyDescent="0.25">
      <c r="A16" s="96" t="str">
        <f>VLOOKUP(C13&amp;$B$11,Players!$C:$H,4,FALSE)&amp;" ("&amp;VLOOKUP(C13&amp;$B$11,Players!$C:$H,5,FALSE)&amp;")"</f>
        <v>Dave Edgar (Forest)</v>
      </c>
      <c r="B16" s="96"/>
      <c r="C16" s="96"/>
      <c r="D16" s="96"/>
      <c r="F16" s="96" t="str">
        <f>VLOOKUP(H13&amp;$B$11,Players!$C:$H,4,FALSE)&amp;" ("&amp;VLOOKUP(H13&amp;$B$11,Players!$C:$H,5,FALSE)&amp;")"</f>
        <v>Ryan Tai (Dome)</v>
      </c>
      <c r="G16" s="96"/>
      <c r="H16" s="96"/>
      <c r="I16" s="96"/>
    </row>
    <row r="17" spans="1:9" s="5" customFormat="1" x14ac:dyDescent="0.25">
      <c r="A17" s="16"/>
      <c r="B17" s="16"/>
      <c r="C17" s="16"/>
      <c r="D17" s="16"/>
      <c r="F17" s="16"/>
      <c r="G17" s="16"/>
      <c r="H17" s="16"/>
      <c r="I17" s="16"/>
    </row>
    <row r="18" spans="1:9" s="5" customFormat="1" ht="18.75" x14ac:dyDescent="0.3">
      <c r="A18" s="16"/>
      <c r="B18" s="16"/>
      <c r="C18" s="16"/>
      <c r="D18" s="16"/>
      <c r="E18" s="13" t="s">
        <v>44</v>
      </c>
      <c r="F18" s="16"/>
      <c r="G18" s="16"/>
      <c r="H18" s="16"/>
      <c r="I18" s="16"/>
    </row>
    <row r="19" spans="1:9" s="5" customFormat="1" ht="15.75" x14ac:dyDescent="0.25">
      <c r="A19" s="8"/>
      <c r="D19" s="15">
        <f>VLOOKUP(RIGHT($F10)*1,Matches!$A:$J,7,FALSE)</f>
        <v>-15</v>
      </c>
      <c r="F19" s="15">
        <f>VLOOKUP(RIGHT($F10)*1,Matches!$A:$J,8,FALSE)</f>
        <v>4</v>
      </c>
    </row>
    <row r="20" spans="1:9" s="5" customFormat="1" ht="15.75" x14ac:dyDescent="0.25">
      <c r="A20" s="8"/>
    </row>
    <row r="21" spans="1:9" s="5" customFormat="1" ht="18.75" x14ac:dyDescent="0.3">
      <c r="E21" s="95" t="s">
        <v>29</v>
      </c>
      <c r="F21" s="95"/>
    </row>
    <row r="22" spans="1:9" s="5" customFormat="1" x14ac:dyDescent="0.25">
      <c r="A22" s="9"/>
      <c r="C22" s="11" t="s">
        <v>30</v>
      </c>
      <c r="E22" s="48">
        <v>5</v>
      </c>
      <c r="F22" s="48">
        <v>21</v>
      </c>
    </row>
    <row r="23" spans="1:9" s="5" customFormat="1" x14ac:dyDescent="0.25">
      <c r="C23" s="11" t="s">
        <v>31</v>
      </c>
      <c r="E23" s="48">
        <v>18</v>
      </c>
      <c r="F23" s="48">
        <v>21</v>
      </c>
    </row>
    <row r="24" spans="1:9" s="5" customFormat="1" x14ac:dyDescent="0.25">
      <c r="A24" s="9"/>
      <c r="C24" s="21" t="s">
        <v>32</v>
      </c>
      <c r="E24" s="20">
        <f>IF(OR(E22="",E23=""),"",SUM(IF(MOD(E22,21),0,1),IF(MOD(E23,21),0,1)))</f>
        <v>0</v>
      </c>
      <c r="F24" s="20">
        <f>IF(OR(F22="",F23=""),"",SUM(IF(MOD(F22,21),0,1),IF(MOD(F23,21),0,1)))</f>
        <v>2</v>
      </c>
      <c r="G24" s="11"/>
    </row>
    <row r="25" spans="1:9" s="5" customFormat="1" x14ac:dyDescent="0.25">
      <c r="A25" s="9"/>
      <c r="E25" s="17"/>
      <c r="F25" s="17"/>
      <c r="G25" s="11"/>
    </row>
    <row r="26" spans="1:9" s="5" customFormat="1" x14ac:dyDescent="0.25">
      <c r="A26" s="9"/>
      <c r="E26" s="17"/>
      <c r="F26" s="17"/>
      <c r="G26" s="11"/>
    </row>
    <row r="27" spans="1:9" s="5" customFormat="1" x14ac:dyDescent="0.25">
      <c r="A27" s="9"/>
      <c r="E27" s="17"/>
      <c r="F27" s="17"/>
      <c r="G27" s="11"/>
    </row>
    <row r="28" spans="1:9" s="5" customFormat="1" x14ac:dyDescent="0.25">
      <c r="A28" s="9"/>
      <c r="E28" s="17"/>
      <c r="F28" s="17"/>
      <c r="G28" s="11"/>
    </row>
    <row r="29" spans="1:9" s="5" customFormat="1" x14ac:dyDescent="0.25">
      <c r="A29" s="9"/>
      <c r="E29" s="17"/>
      <c r="F29" s="17"/>
      <c r="G29" s="11"/>
    </row>
    <row r="30" spans="1:9" s="5" customFormat="1" x14ac:dyDescent="0.25">
      <c r="A30" s="9"/>
      <c r="E30" s="17"/>
      <c r="F30" s="17"/>
      <c r="G30" s="11"/>
    </row>
    <row r="31" spans="1:9" s="5" customFormat="1" x14ac:dyDescent="0.25">
      <c r="A31" s="9"/>
      <c r="E31" s="17"/>
      <c r="F31" s="17"/>
      <c r="G31" s="11"/>
    </row>
    <row r="32" spans="1:9" s="5" customFormat="1" ht="7.5" customHeight="1" x14ac:dyDescent="0.25">
      <c r="A32" s="9"/>
    </row>
    <row r="33" spans="1:9" s="5" customFormat="1" ht="18" x14ac:dyDescent="0.25">
      <c r="A33" s="89" t="s">
        <v>43</v>
      </c>
      <c r="B33" s="89"/>
      <c r="C33" s="89"/>
      <c r="D33" s="89"/>
      <c r="E33" s="89"/>
      <c r="F33" s="89"/>
      <c r="G33" s="89"/>
      <c r="H33" s="89"/>
      <c r="I33" s="89"/>
    </row>
    <row r="34" spans="1:9" s="5" customFormat="1" ht="25.5" x14ac:dyDescent="0.35">
      <c r="A34" s="92" t="s">
        <v>21</v>
      </c>
      <c r="B34" s="92"/>
      <c r="C34" s="92"/>
      <c r="D34" s="92"/>
      <c r="E34" s="92"/>
      <c r="F34" s="92"/>
      <c r="G34" s="92"/>
      <c r="H34" s="92"/>
      <c r="I34" s="92"/>
    </row>
    <row r="35" spans="1:9" s="5" customFormat="1" ht="19.5" x14ac:dyDescent="0.25">
      <c r="A35" s="93" t="s">
        <v>22</v>
      </c>
      <c r="B35" s="93"/>
      <c r="C35" s="93"/>
      <c r="D35" s="93"/>
      <c r="E35" s="93"/>
      <c r="F35" s="93"/>
      <c r="G35" s="93"/>
      <c r="H35" s="93"/>
      <c r="I35" s="93"/>
    </row>
    <row r="36" spans="1:9" s="5" customFormat="1" x14ac:dyDescent="0.25">
      <c r="A36" s="94" t="s">
        <v>23</v>
      </c>
      <c r="B36" s="94"/>
      <c r="C36" s="94"/>
      <c r="D36" s="94"/>
      <c r="E36" s="94"/>
      <c r="F36" s="94"/>
      <c r="G36" s="94"/>
      <c r="H36" s="94"/>
      <c r="I36" s="94"/>
    </row>
    <row r="37" spans="1:9" s="5" customFormat="1" x14ac:dyDescent="0.25">
      <c r="A37" s="6"/>
    </row>
    <row r="38" spans="1:9" s="5" customFormat="1" x14ac:dyDescent="0.25">
      <c r="A38" s="6"/>
    </row>
    <row r="39" spans="1:9" s="5" customFormat="1" ht="18.75" x14ac:dyDescent="0.3">
      <c r="A39" s="9" t="s">
        <v>25</v>
      </c>
      <c r="B39" s="90" t="s">
        <v>6</v>
      </c>
      <c r="C39" s="90"/>
      <c r="D39" s="9" t="s">
        <v>26</v>
      </c>
      <c r="F39" s="13" t="str">
        <f>$B$11&amp;2</f>
        <v>M2</v>
      </c>
      <c r="G39" s="22"/>
      <c r="H39" s="17"/>
    </row>
    <row r="40" spans="1:9" s="5" customFormat="1" x14ac:dyDescent="0.25">
      <c r="A40" s="7"/>
    </row>
    <row r="41" spans="1:9" s="5" customFormat="1" x14ac:dyDescent="0.25">
      <c r="A41" s="10"/>
    </row>
    <row r="42" spans="1:9" s="11" customFormat="1" x14ac:dyDescent="0.25">
      <c r="A42" s="91" t="s">
        <v>27</v>
      </c>
      <c r="B42" s="91"/>
      <c r="C42" s="15">
        <f>VLOOKUP(RIGHT($F39)*1,Matches!$A:$J,3,FALSE)</f>
        <v>3</v>
      </c>
      <c r="D42" s="14"/>
      <c r="F42" s="91" t="s">
        <v>27</v>
      </c>
      <c r="G42" s="91"/>
      <c r="H42" s="15">
        <f>VLOOKUP(RIGHT($F39)*1,Matches!$A:$J,4,FALSE)</f>
        <v>4</v>
      </c>
      <c r="I42" s="14"/>
    </row>
    <row r="43" spans="1:9" s="11" customFormat="1" x14ac:dyDescent="0.25">
      <c r="A43" s="91" t="s">
        <v>28</v>
      </c>
      <c r="B43" s="91"/>
      <c r="C43" s="15">
        <f>VLOOKUP(RIGHT($F39)*1,Matches!$A:$J,5,FALSE)</f>
        <v>8</v>
      </c>
      <c r="D43" s="14"/>
      <c r="E43" s="12" t="s">
        <v>24</v>
      </c>
      <c r="F43" s="91" t="s">
        <v>28</v>
      </c>
      <c r="G43" s="91"/>
      <c r="H43" s="15">
        <f>VLOOKUP(RIGHT($F39)*1,Matches!$A:$J,6,FALSE)</f>
        <v>12</v>
      </c>
      <c r="I43" s="14"/>
    </row>
    <row r="44" spans="1:9" s="5" customFormat="1" x14ac:dyDescent="0.25">
      <c r="A44" s="96" t="str">
        <f>VLOOKUP(C42&amp;$B$11,Players!$C:$H,2,FALSE)&amp;" ("&amp;VLOOKUP(C42&amp;$B$11,Players!$C:$H,3,FALSE)&amp;")"</f>
        <v>Jetmond Ma (ACE)</v>
      </c>
      <c r="B44" s="96"/>
      <c r="C44" s="96"/>
      <c r="D44" s="96"/>
      <c r="F44" s="96" t="str">
        <f>VLOOKUP(H42&amp;$B$11,Players!$C:$H,2,FALSE)&amp;" ("&amp;VLOOKUP(H42&amp;$B$11,Players!$C:$H,3,FALSE)&amp;")"</f>
        <v>Ji Qiao (Silver Feather)</v>
      </c>
      <c r="G44" s="96"/>
      <c r="H44" s="96"/>
      <c r="I44" s="96"/>
    </row>
    <row r="45" spans="1:9" s="5" customFormat="1" x14ac:dyDescent="0.25">
      <c r="A45" s="96" t="str">
        <f>VLOOKUP(C42&amp;$B$11,Players!$C:$H,4,FALSE)&amp;" ("&amp;VLOOKUP(C42&amp;$B$11,Players!$C:$H,5,FALSE)&amp;")"</f>
        <v>Yu Hin Wong (ACE)</v>
      </c>
      <c r="B45" s="96"/>
      <c r="C45" s="96"/>
      <c r="D45" s="96"/>
      <c r="F45" s="96" t="str">
        <f>VLOOKUP(H42&amp;$B$11,Players!$C:$H,4,FALSE)&amp;" ("&amp;VLOOKUP(H42&amp;$B$11,Players!$C:$H,5,FALSE)&amp;")"</f>
        <v>Henry Noorveriandi (Silver Feather)</v>
      </c>
      <c r="G45" s="96"/>
      <c r="H45" s="96"/>
      <c r="I45" s="96"/>
    </row>
    <row r="46" spans="1:9" s="5" customFormat="1" x14ac:dyDescent="0.25">
      <c r="A46" s="16"/>
      <c r="B46" s="16"/>
      <c r="C46" s="16"/>
      <c r="D46" s="16"/>
      <c r="F46" s="16"/>
      <c r="G46" s="16"/>
      <c r="H46" s="16"/>
      <c r="I46" s="16"/>
    </row>
    <row r="47" spans="1:9" s="5" customFormat="1" ht="18.75" x14ac:dyDescent="0.3">
      <c r="A47" s="16"/>
      <c r="B47" s="16"/>
      <c r="C47" s="16"/>
      <c r="D47" s="16"/>
      <c r="E47" s="13" t="s">
        <v>44</v>
      </c>
      <c r="F47" s="16"/>
      <c r="G47" s="16"/>
      <c r="H47" s="16"/>
      <c r="I47" s="16"/>
    </row>
    <row r="48" spans="1:9" s="5" customFormat="1" ht="15.75" x14ac:dyDescent="0.25">
      <c r="A48" s="8"/>
      <c r="D48" s="15">
        <f>VLOOKUP(RIGHT($F39)*1,Matches!$A:$J,7,FALSE)</f>
        <v>0</v>
      </c>
      <c r="F48" s="15">
        <f>VLOOKUP(RIGHT($F39)*1,Matches!$A:$J,8,FALSE)</f>
        <v>5</v>
      </c>
    </row>
    <row r="49" spans="1:9" s="5" customFormat="1" ht="15.75" x14ac:dyDescent="0.25">
      <c r="A49" s="8"/>
    </row>
    <row r="50" spans="1:9" s="5" customFormat="1" ht="18.75" x14ac:dyDescent="0.3">
      <c r="E50" s="95" t="s">
        <v>29</v>
      </c>
      <c r="F50" s="95"/>
    </row>
    <row r="51" spans="1:9" s="5" customFormat="1" x14ac:dyDescent="0.25">
      <c r="A51" s="9"/>
      <c r="C51" s="11" t="s">
        <v>30</v>
      </c>
      <c r="E51" s="48">
        <v>21</v>
      </c>
      <c r="F51" s="48">
        <v>19</v>
      </c>
    </row>
    <row r="52" spans="1:9" s="5" customFormat="1" x14ac:dyDescent="0.25">
      <c r="C52" s="11" t="s">
        <v>31</v>
      </c>
      <c r="E52" s="48">
        <v>16</v>
      </c>
      <c r="F52" s="48">
        <v>21</v>
      </c>
    </row>
    <row r="53" spans="1:9" s="5" customFormat="1" x14ac:dyDescent="0.25">
      <c r="A53" s="9"/>
      <c r="C53" s="21" t="s">
        <v>32</v>
      </c>
      <c r="E53" s="20">
        <f>IF(OR(E51="",E52=""),"",SUM(IF(MOD(E51,21),0,1),IF(MOD(E52,21),0,1)))</f>
        <v>1</v>
      </c>
      <c r="F53" s="20">
        <f>IF(OR(F51="",F52=""),"",SUM(IF(MOD(F51,21),0,1),IF(MOD(F52,21),0,1)))</f>
        <v>1</v>
      </c>
    </row>
    <row r="54" spans="1:9" s="5" customFormat="1" x14ac:dyDescent="0.25">
      <c r="A54" s="9"/>
      <c r="C54" s="19"/>
      <c r="E54" s="16"/>
      <c r="F54" s="16"/>
    </row>
    <row r="55" spans="1:9" s="5" customFormat="1" x14ac:dyDescent="0.25">
      <c r="A55" s="9"/>
      <c r="E55" s="17"/>
      <c r="F55" s="17"/>
      <c r="G55" s="11"/>
    </row>
    <row r="56" spans="1:9" s="5" customFormat="1" x14ac:dyDescent="0.25">
      <c r="A56" s="9"/>
      <c r="E56" s="17"/>
      <c r="F56" s="17"/>
      <c r="G56" s="11"/>
    </row>
    <row r="57" spans="1:9" s="5" customFormat="1" x14ac:dyDescent="0.25">
      <c r="A57" s="9"/>
      <c r="E57" s="17"/>
      <c r="F57" s="17"/>
      <c r="G57" s="11"/>
    </row>
    <row r="58" spans="1:9" s="5" customFormat="1" x14ac:dyDescent="0.25">
      <c r="A58" s="9"/>
      <c r="C58" s="19"/>
      <c r="E58" s="16"/>
      <c r="F58" s="16"/>
    </row>
    <row r="59" spans="1:9" s="5" customFormat="1" x14ac:dyDescent="0.25">
      <c r="A59" s="9"/>
      <c r="C59" s="19"/>
      <c r="E59" s="16"/>
      <c r="F59" s="16"/>
    </row>
    <row r="60" spans="1:9" s="5" customFormat="1" x14ac:dyDescent="0.25">
      <c r="A60" s="9"/>
      <c r="C60" s="19"/>
      <c r="E60" s="16"/>
      <c r="F60" s="16"/>
    </row>
    <row r="61" spans="1:9" s="5" customFormat="1" x14ac:dyDescent="0.25">
      <c r="A61" s="9"/>
      <c r="C61" s="19"/>
      <c r="E61" s="16"/>
      <c r="F61" s="16"/>
    </row>
    <row r="62" spans="1:9" s="5" customFormat="1" ht="18" x14ac:dyDescent="0.25">
      <c r="A62" s="89" t="s">
        <v>43</v>
      </c>
      <c r="B62" s="89"/>
      <c r="C62" s="89"/>
      <c r="D62" s="89"/>
      <c r="E62" s="89"/>
      <c r="F62" s="89"/>
      <c r="G62" s="89"/>
      <c r="H62" s="89"/>
      <c r="I62" s="89"/>
    </row>
    <row r="63" spans="1:9" s="5" customFormat="1" ht="25.5" x14ac:dyDescent="0.35">
      <c r="A63" s="92" t="s">
        <v>21</v>
      </c>
      <c r="B63" s="92"/>
      <c r="C63" s="92"/>
      <c r="D63" s="92"/>
      <c r="E63" s="92"/>
      <c r="F63" s="92"/>
      <c r="G63" s="92"/>
      <c r="H63" s="92"/>
      <c r="I63" s="92"/>
    </row>
    <row r="64" spans="1:9" s="5" customFormat="1" ht="19.5" x14ac:dyDescent="0.25">
      <c r="A64" s="93" t="s">
        <v>22</v>
      </c>
      <c r="B64" s="93"/>
      <c r="C64" s="93"/>
      <c r="D64" s="93"/>
      <c r="E64" s="93"/>
      <c r="F64" s="93"/>
      <c r="G64" s="93"/>
      <c r="H64" s="93"/>
      <c r="I64" s="93"/>
    </row>
    <row r="65" spans="1:9" s="5" customFormat="1" x14ac:dyDescent="0.25">
      <c r="A65" s="94" t="s">
        <v>23</v>
      </c>
      <c r="B65" s="94"/>
      <c r="C65" s="94"/>
      <c r="D65" s="94"/>
      <c r="E65" s="94"/>
      <c r="F65" s="94"/>
      <c r="G65" s="94"/>
      <c r="H65" s="94"/>
      <c r="I65" s="94"/>
    </row>
    <row r="66" spans="1:9" s="5" customFormat="1" x14ac:dyDescent="0.25">
      <c r="A66" s="6"/>
    </row>
    <row r="67" spans="1:9" s="5" customFormat="1" x14ac:dyDescent="0.25">
      <c r="A67" s="6"/>
    </row>
    <row r="68" spans="1:9" s="5" customFormat="1" ht="18.75" x14ac:dyDescent="0.3">
      <c r="A68" s="9" t="s">
        <v>25</v>
      </c>
      <c r="B68" s="90" t="s">
        <v>6</v>
      </c>
      <c r="C68" s="90"/>
      <c r="D68" s="9" t="s">
        <v>26</v>
      </c>
      <c r="F68" s="13" t="str">
        <f>$B$11&amp;3</f>
        <v>M3</v>
      </c>
      <c r="G68" s="22"/>
      <c r="H68" s="17"/>
    </row>
    <row r="69" spans="1:9" s="5" customFormat="1" x14ac:dyDescent="0.25">
      <c r="A69" s="7"/>
    </row>
    <row r="70" spans="1:9" s="5" customFormat="1" x14ac:dyDescent="0.25">
      <c r="A70" s="10"/>
    </row>
    <row r="71" spans="1:9" s="11" customFormat="1" x14ac:dyDescent="0.25">
      <c r="A71" s="91" t="s">
        <v>27</v>
      </c>
      <c r="B71" s="91"/>
      <c r="C71" s="15">
        <f>VLOOKUP(RIGHT($F68)*1,Matches!$A:$J,3,FALSE)</f>
        <v>2</v>
      </c>
      <c r="D71" s="14"/>
      <c r="F71" s="91" t="s">
        <v>27</v>
      </c>
      <c r="G71" s="91"/>
      <c r="H71" s="15">
        <f>VLOOKUP(RIGHT($F68)*1,Matches!$A:$J,4,FALSE)</f>
        <v>3</v>
      </c>
      <c r="I71" s="14"/>
    </row>
    <row r="72" spans="1:9" s="11" customFormat="1" x14ac:dyDescent="0.25">
      <c r="A72" s="91" t="s">
        <v>28</v>
      </c>
      <c r="B72" s="91"/>
      <c r="C72" s="15">
        <f>VLOOKUP(RIGHT($F68)*1,Matches!$A:$J,5,FALSE)</f>
        <v>4</v>
      </c>
      <c r="D72" s="14"/>
      <c r="E72" s="12" t="s">
        <v>24</v>
      </c>
      <c r="F72" s="91" t="s">
        <v>28</v>
      </c>
      <c r="G72" s="91"/>
      <c r="H72" s="15">
        <f>VLOOKUP(RIGHT($F68)*1,Matches!$A:$J,6,FALSE)</f>
        <v>8</v>
      </c>
      <c r="I72" s="14"/>
    </row>
    <row r="73" spans="1:9" s="5" customFormat="1" x14ac:dyDescent="0.25">
      <c r="A73" s="96" t="str">
        <f>VLOOKUP(C71&amp;$B$11,Players!$C:$H,2,FALSE)&amp;" ("&amp;VLOOKUP(C71&amp;$B$11,Players!$C:$H,3,FALSE)&amp;")"</f>
        <v>Michael Featherstone (Dome)</v>
      </c>
      <c r="B73" s="96"/>
      <c r="C73" s="96"/>
      <c r="D73" s="96"/>
      <c r="F73" s="96" t="str">
        <f>VLOOKUP(H71&amp;$B$11,Players!$C:$H,2,FALSE)&amp;" ("&amp;VLOOKUP(H71&amp;$B$11,Players!$C:$H,3,FALSE)&amp;")"</f>
        <v>Jetmond Ma (ACE)</v>
      </c>
      <c r="G73" s="96"/>
      <c r="H73" s="96"/>
      <c r="I73" s="96"/>
    </row>
    <row r="74" spans="1:9" s="5" customFormat="1" x14ac:dyDescent="0.25">
      <c r="A74" s="96" t="str">
        <f>VLOOKUP(C71&amp;$B$11,Players!$C:$H,4,FALSE)&amp;" ("&amp;VLOOKUP(C71&amp;$B$11,Players!$C:$H,5,FALSE)&amp;")"</f>
        <v>Ryan Tai (Dome)</v>
      </c>
      <c r="B74" s="96"/>
      <c r="C74" s="96"/>
      <c r="D74" s="96"/>
      <c r="F74" s="96" t="str">
        <f>VLOOKUP(H71&amp;$B$11,Players!$C:$H,4,FALSE)&amp;" ("&amp;VLOOKUP(H71&amp;$B$11,Players!$C:$H,5,FALSE)&amp;")"</f>
        <v>Yu Hin Wong (ACE)</v>
      </c>
      <c r="G74" s="96"/>
      <c r="H74" s="96"/>
      <c r="I74" s="96"/>
    </row>
    <row r="75" spans="1:9" s="5" customFormat="1" x14ac:dyDescent="0.25">
      <c r="A75" s="16"/>
      <c r="B75" s="16"/>
      <c r="C75" s="16"/>
      <c r="D75" s="16"/>
      <c r="F75" s="16"/>
      <c r="G75" s="16"/>
      <c r="H75" s="16"/>
      <c r="I75" s="16"/>
    </row>
    <row r="76" spans="1:9" s="5" customFormat="1" ht="18.75" x14ac:dyDescent="0.3">
      <c r="A76" s="16"/>
      <c r="B76" s="16"/>
      <c r="C76" s="16"/>
      <c r="D76" s="16"/>
      <c r="E76" s="13" t="s">
        <v>44</v>
      </c>
      <c r="F76" s="16"/>
      <c r="G76" s="16"/>
      <c r="H76" s="16"/>
      <c r="I76" s="16"/>
    </row>
    <row r="77" spans="1:9" s="5" customFormat="1" ht="15.75" x14ac:dyDescent="0.25">
      <c r="A77" s="8"/>
      <c r="D77" s="15">
        <f>VLOOKUP(RIGHT($F68)*1,Matches!$A:$J,7,FALSE)</f>
        <v>0</v>
      </c>
      <c r="F77" s="15">
        <f>VLOOKUP(RIGHT($F68)*1,Matches!$A:$J,8,FALSE)</f>
        <v>5</v>
      </c>
    </row>
    <row r="78" spans="1:9" s="5" customFormat="1" ht="15.75" x14ac:dyDescent="0.25">
      <c r="A78" s="8"/>
    </row>
    <row r="79" spans="1:9" s="5" customFormat="1" ht="18.75" x14ac:dyDescent="0.3">
      <c r="E79" s="95" t="s">
        <v>29</v>
      </c>
      <c r="F79" s="95"/>
    </row>
    <row r="80" spans="1:9" s="5" customFormat="1" x14ac:dyDescent="0.25">
      <c r="A80" s="9"/>
      <c r="C80" s="11" t="s">
        <v>30</v>
      </c>
      <c r="E80" s="48">
        <v>21</v>
      </c>
      <c r="F80" s="48">
        <v>17</v>
      </c>
    </row>
    <row r="81" spans="1:9" s="5" customFormat="1" x14ac:dyDescent="0.25">
      <c r="C81" s="11" t="s">
        <v>31</v>
      </c>
      <c r="E81" s="48">
        <v>21</v>
      </c>
      <c r="F81" s="48">
        <v>17</v>
      </c>
    </row>
    <row r="82" spans="1:9" s="5" customFormat="1" ht="15.75" x14ac:dyDescent="0.25">
      <c r="A82" s="8"/>
      <c r="C82" s="21" t="s">
        <v>32</v>
      </c>
      <c r="E82" s="20">
        <f>IF(OR(E80="",E81=""),"",SUM(IF(MOD(E80,21),0,1),IF(MOD(E81,21),0,1)))</f>
        <v>2</v>
      </c>
      <c r="F82" s="20">
        <f>IF(OR(F80="",F81=""),"",SUM(IF(MOD(F80,21),0,1),IF(MOD(F81,21),0,1)))</f>
        <v>0</v>
      </c>
      <c r="G82" s="11"/>
    </row>
    <row r="83" spans="1:9" s="5" customFormat="1" ht="15.75" x14ac:dyDescent="0.25">
      <c r="A83" s="8"/>
      <c r="E83" s="17"/>
      <c r="F83" s="17"/>
      <c r="G83" s="11"/>
    </row>
    <row r="84" spans="1:9" s="5" customFormat="1" ht="15.75" x14ac:dyDescent="0.25">
      <c r="A84" s="8"/>
      <c r="E84" s="17"/>
      <c r="F84" s="17"/>
      <c r="G84" s="11"/>
    </row>
    <row r="85" spans="1:9" s="5" customFormat="1" ht="15.75" x14ac:dyDescent="0.25">
      <c r="A85" s="8"/>
      <c r="E85" s="17"/>
      <c r="F85" s="17"/>
      <c r="G85" s="11"/>
    </row>
    <row r="86" spans="1:9" s="5" customFormat="1" ht="15.75" x14ac:dyDescent="0.25">
      <c r="A86" s="8"/>
      <c r="E86" s="17"/>
      <c r="F86" s="17"/>
      <c r="G86" s="11"/>
    </row>
    <row r="87" spans="1:9" s="5" customFormat="1" ht="15.75" x14ac:dyDescent="0.25">
      <c r="A87" s="8"/>
      <c r="E87" s="17"/>
      <c r="F87" s="17"/>
      <c r="G87" s="11"/>
    </row>
    <row r="88" spans="1:9" s="5" customFormat="1" ht="15.75" x14ac:dyDescent="0.25">
      <c r="A88" s="8"/>
      <c r="E88" s="17"/>
      <c r="F88" s="17"/>
      <c r="G88" s="11"/>
    </row>
    <row r="89" spans="1:9" s="5" customFormat="1" ht="15.75" x14ac:dyDescent="0.25">
      <c r="A89" s="8"/>
      <c r="E89" s="17"/>
      <c r="F89" s="17"/>
      <c r="G89" s="11"/>
    </row>
    <row r="90" spans="1:9" s="5" customFormat="1" ht="7.5" customHeight="1" x14ac:dyDescent="0.25"/>
    <row r="91" spans="1:9" s="5" customFormat="1" ht="18" x14ac:dyDescent="0.25">
      <c r="A91" s="89" t="s">
        <v>43</v>
      </c>
      <c r="B91" s="89"/>
      <c r="C91" s="89"/>
      <c r="D91" s="89"/>
      <c r="E91" s="89"/>
      <c r="F91" s="89"/>
      <c r="G91" s="89"/>
      <c r="H91" s="89"/>
      <c r="I91" s="89"/>
    </row>
    <row r="92" spans="1:9" s="5" customFormat="1" ht="25.5" x14ac:dyDescent="0.35">
      <c r="A92" s="92" t="s">
        <v>21</v>
      </c>
      <c r="B92" s="92"/>
      <c r="C92" s="92"/>
      <c r="D92" s="92"/>
      <c r="E92" s="92"/>
      <c r="F92" s="92"/>
      <c r="G92" s="92"/>
      <c r="H92" s="92"/>
      <c r="I92" s="92"/>
    </row>
    <row r="93" spans="1:9" s="5" customFormat="1" ht="19.5" x14ac:dyDescent="0.25">
      <c r="A93" s="93" t="s">
        <v>22</v>
      </c>
      <c r="B93" s="93"/>
      <c r="C93" s="93"/>
      <c r="D93" s="93"/>
      <c r="E93" s="93"/>
      <c r="F93" s="93"/>
      <c r="G93" s="93"/>
      <c r="H93" s="93"/>
      <c r="I93" s="93"/>
    </row>
    <row r="94" spans="1:9" s="5" customFormat="1" x14ac:dyDescent="0.25">
      <c r="A94" s="94" t="s">
        <v>23</v>
      </c>
      <c r="B94" s="94"/>
      <c r="C94" s="94"/>
      <c r="D94" s="94"/>
      <c r="E94" s="94"/>
      <c r="F94" s="94"/>
      <c r="G94" s="94"/>
      <c r="H94" s="94"/>
      <c r="I94" s="94"/>
    </row>
    <row r="95" spans="1:9" s="5" customFormat="1" x14ac:dyDescent="0.25">
      <c r="A95" s="6"/>
    </row>
    <row r="96" spans="1:9" s="5" customFormat="1" x14ac:dyDescent="0.25">
      <c r="A96" s="6"/>
    </row>
    <row r="97" spans="1:9" s="5" customFormat="1" ht="18.75" x14ac:dyDescent="0.3">
      <c r="A97" s="9" t="s">
        <v>25</v>
      </c>
      <c r="B97" s="90" t="s">
        <v>6</v>
      </c>
      <c r="C97" s="90"/>
      <c r="D97" s="9" t="s">
        <v>26</v>
      </c>
      <c r="F97" s="13" t="str">
        <f>$B$11&amp;4</f>
        <v>M4</v>
      </c>
      <c r="G97" s="22"/>
      <c r="H97" s="17"/>
    </row>
    <row r="98" spans="1:9" s="5" customFormat="1" x14ac:dyDescent="0.25">
      <c r="A98" s="7"/>
    </row>
    <row r="99" spans="1:9" s="5" customFormat="1" x14ac:dyDescent="0.25">
      <c r="A99" s="10"/>
    </row>
    <row r="100" spans="1:9" s="11" customFormat="1" x14ac:dyDescent="0.25">
      <c r="A100" s="91" t="s">
        <v>27</v>
      </c>
      <c r="B100" s="91"/>
      <c r="C100" s="15">
        <f>VLOOKUP(RIGHT($F97)*1,Matches!$A:$J,3,FALSE)</f>
        <v>1</v>
      </c>
      <c r="D100" s="14"/>
      <c r="F100" s="91" t="s">
        <v>27</v>
      </c>
      <c r="G100" s="91"/>
      <c r="H100" s="15">
        <f>VLOOKUP(RIGHT($F97)*1,Matches!$A:$J,4,FALSE)</f>
        <v>4</v>
      </c>
      <c r="I100" s="14"/>
    </row>
    <row r="101" spans="1:9" s="11" customFormat="1" x14ac:dyDescent="0.25">
      <c r="A101" s="91" t="s">
        <v>28</v>
      </c>
      <c r="B101" s="91"/>
      <c r="C101" s="15">
        <f>VLOOKUP(RIGHT($F97)*1,Matches!$A:$J,5,FALSE)</f>
        <v>-15</v>
      </c>
      <c r="D101" s="14"/>
      <c r="E101" s="12" t="s">
        <v>24</v>
      </c>
      <c r="F101" s="91" t="s">
        <v>28</v>
      </c>
      <c r="G101" s="91"/>
      <c r="H101" s="15">
        <f>VLOOKUP(RIGHT($F97)*1,Matches!$A:$J,6,FALSE)</f>
        <v>12</v>
      </c>
      <c r="I101" s="14"/>
    </row>
    <row r="102" spans="1:9" s="5" customFormat="1" x14ac:dyDescent="0.25">
      <c r="A102" s="96" t="str">
        <f>VLOOKUP(C100&amp;$B$11,Players!$C:$H,2,FALSE)&amp;" ("&amp;VLOOKUP(C100&amp;$B$11,Players!$C:$H,3,FALSE)&amp;")"</f>
        <v>Jake White (Forest)</v>
      </c>
      <c r="B102" s="96"/>
      <c r="C102" s="96"/>
      <c r="D102" s="96"/>
      <c r="F102" s="96" t="str">
        <f>VLOOKUP(H100&amp;$B$11,Players!$C:$H,2,FALSE)&amp;" ("&amp;VLOOKUP(H100&amp;$B$11,Players!$C:$H,3,FALSE)&amp;")"</f>
        <v>Ji Qiao (Silver Feather)</v>
      </c>
      <c r="G102" s="96"/>
      <c r="H102" s="96"/>
      <c r="I102" s="96"/>
    </row>
    <row r="103" spans="1:9" s="5" customFormat="1" x14ac:dyDescent="0.25">
      <c r="A103" s="96" t="str">
        <f>VLOOKUP(C100&amp;$B$11,Players!$C:$H,4,FALSE)&amp;" ("&amp;VLOOKUP(C100&amp;$B$11,Players!$C:$H,5,FALSE)&amp;")"</f>
        <v>Dave Edgar (Forest)</v>
      </c>
      <c r="B103" s="96"/>
      <c r="C103" s="96"/>
      <c r="D103" s="96"/>
      <c r="F103" s="96" t="str">
        <f>VLOOKUP(H100&amp;$B$11,Players!$C:$H,4,FALSE)&amp;" ("&amp;VLOOKUP(H100&amp;$B$11,Players!$C:$H,5,FALSE)&amp;")"</f>
        <v>Henry Noorveriandi (Silver Feather)</v>
      </c>
      <c r="G103" s="96"/>
      <c r="H103" s="96"/>
      <c r="I103" s="96"/>
    </row>
    <row r="104" spans="1:9" s="5" customFormat="1" x14ac:dyDescent="0.25">
      <c r="A104" s="16"/>
      <c r="B104" s="16"/>
      <c r="C104" s="16"/>
      <c r="D104" s="16"/>
      <c r="F104" s="16"/>
      <c r="G104" s="16"/>
      <c r="H104" s="16"/>
      <c r="I104" s="16"/>
    </row>
    <row r="105" spans="1:9" s="5" customFormat="1" ht="18.75" x14ac:dyDescent="0.3">
      <c r="A105" s="16"/>
      <c r="B105" s="16"/>
      <c r="C105" s="16"/>
      <c r="D105" s="16"/>
      <c r="E105" s="13" t="s">
        <v>44</v>
      </c>
      <c r="F105" s="16"/>
      <c r="G105" s="16"/>
      <c r="H105" s="16"/>
      <c r="I105" s="16"/>
    </row>
    <row r="106" spans="1:9" s="5" customFormat="1" ht="15.75" x14ac:dyDescent="0.25">
      <c r="A106" s="8"/>
      <c r="D106" s="15">
        <f>VLOOKUP(RIGHT($F97)*1,Matches!$A:$J,7,FALSE)</f>
        <v>-15</v>
      </c>
      <c r="F106" s="15">
        <f>VLOOKUP(RIGHT($F97)*1,Matches!$A:$J,8,FALSE)</f>
        <v>12</v>
      </c>
    </row>
    <row r="107" spans="1:9" s="5" customFormat="1" ht="15.75" x14ac:dyDescent="0.25">
      <c r="A107" s="8"/>
    </row>
    <row r="108" spans="1:9" s="5" customFormat="1" ht="18.75" x14ac:dyDescent="0.3">
      <c r="E108" s="95" t="s">
        <v>29</v>
      </c>
      <c r="F108" s="95"/>
    </row>
    <row r="109" spans="1:9" s="5" customFormat="1" x14ac:dyDescent="0.25">
      <c r="A109" s="9"/>
      <c r="C109" s="11" t="s">
        <v>30</v>
      </c>
      <c r="E109" s="48">
        <v>9</v>
      </c>
      <c r="F109" s="48">
        <v>21</v>
      </c>
    </row>
    <row r="110" spans="1:9" s="5" customFormat="1" x14ac:dyDescent="0.25">
      <c r="C110" s="11" t="s">
        <v>31</v>
      </c>
      <c r="E110" s="48">
        <v>9</v>
      </c>
      <c r="F110" s="48">
        <v>21</v>
      </c>
    </row>
    <row r="111" spans="1:9" x14ac:dyDescent="0.25">
      <c r="A111" s="9"/>
      <c r="B111" s="5"/>
      <c r="C111" s="21" t="s">
        <v>32</v>
      </c>
      <c r="D111" s="5"/>
      <c r="E111" s="20">
        <f>IF(OR(E109="",E110=""),"",SUM(IF(MOD(E109,21),0,1),IF(MOD(E110,21),0,1)))</f>
        <v>0</v>
      </c>
      <c r="F111" s="20">
        <f>IF(OR(F109="",F110=""),"",SUM(IF(MOD(F109,21),0,1),IF(MOD(F110,21),0,1)))</f>
        <v>2</v>
      </c>
      <c r="G111" s="11"/>
      <c r="H111" s="5"/>
      <c r="I111" s="5"/>
    </row>
    <row r="112" spans="1:9" x14ac:dyDescent="0.25">
      <c r="A112" s="9"/>
      <c r="B112" s="5"/>
      <c r="C112" s="21"/>
      <c r="D112" s="5"/>
      <c r="E112" s="16"/>
      <c r="F112" s="16"/>
      <c r="G112" s="11"/>
      <c r="H112" s="5"/>
      <c r="I112" s="5"/>
    </row>
    <row r="113" spans="1:9" x14ac:dyDescent="0.25">
      <c r="A113" s="9"/>
      <c r="B113" s="5"/>
      <c r="C113" s="21"/>
      <c r="D113" s="5"/>
      <c r="E113" s="16"/>
      <c r="F113" s="16"/>
      <c r="G113" s="11"/>
      <c r="H113" s="5"/>
      <c r="I113" s="5"/>
    </row>
    <row r="114" spans="1:9" x14ac:dyDescent="0.25">
      <c r="A114" s="9"/>
      <c r="B114" s="5"/>
      <c r="C114" s="21"/>
      <c r="D114" s="5"/>
      <c r="E114" s="16"/>
      <c r="F114" s="16"/>
      <c r="G114" s="11"/>
      <c r="H114" s="5"/>
      <c r="I114" s="5"/>
    </row>
    <row r="115" spans="1:9" x14ac:dyDescent="0.25">
      <c r="A115" s="9"/>
      <c r="B115" s="5"/>
      <c r="C115" s="21"/>
      <c r="D115" s="5"/>
      <c r="E115" s="16"/>
      <c r="F115" s="16"/>
      <c r="G115" s="11"/>
      <c r="H115" s="5"/>
      <c r="I115" s="5"/>
    </row>
    <row r="116" spans="1:9" x14ac:dyDescent="0.25">
      <c r="A116" s="9"/>
      <c r="B116" s="5"/>
      <c r="C116" s="21"/>
      <c r="D116" s="5"/>
      <c r="E116" s="16"/>
      <c r="F116" s="16"/>
      <c r="G116" s="11"/>
      <c r="H116" s="5"/>
      <c r="I116" s="5"/>
    </row>
    <row r="117" spans="1:9" x14ac:dyDescent="0.25">
      <c r="A117" s="9"/>
      <c r="B117" s="5"/>
      <c r="C117" s="5"/>
      <c r="D117" s="5"/>
      <c r="E117" s="17"/>
      <c r="F117" s="17"/>
      <c r="G117" s="11"/>
      <c r="H117" s="5"/>
      <c r="I117" s="5"/>
    </row>
    <row r="118" spans="1:9" x14ac:dyDescent="0.25">
      <c r="A118" s="9"/>
      <c r="B118" s="5"/>
      <c r="C118" s="5"/>
      <c r="D118" s="5"/>
      <c r="E118" s="17"/>
      <c r="F118" s="17"/>
      <c r="G118" s="11"/>
      <c r="H118" s="5"/>
      <c r="I118" s="5"/>
    </row>
    <row r="119" spans="1:9" x14ac:dyDescent="0.25">
      <c r="A119" s="9"/>
      <c r="B119" s="5"/>
      <c r="C119" s="5"/>
      <c r="D119" s="5"/>
      <c r="E119" s="17"/>
      <c r="F119" s="17"/>
      <c r="G119" s="11"/>
      <c r="H119" s="5"/>
      <c r="I119" s="5"/>
    </row>
    <row r="120" spans="1:9" ht="18" x14ac:dyDescent="0.25">
      <c r="A120" s="89" t="s">
        <v>43</v>
      </c>
      <c r="B120" s="89"/>
      <c r="C120" s="89"/>
      <c r="D120" s="89"/>
      <c r="E120" s="89"/>
      <c r="F120" s="89"/>
      <c r="G120" s="89"/>
      <c r="H120" s="89"/>
      <c r="I120" s="89"/>
    </row>
    <row r="121" spans="1:9" ht="25.5" x14ac:dyDescent="0.35">
      <c r="A121" s="92" t="s">
        <v>21</v>
      </c>
      <c r="B121" s="92"/>
      <c r="C121" s="92"/>
      <c r="D121" s="92"/>
      <c r="E121" s="92"/>
      <c r="F121" s="92"/>
      <c r="G121" s="92"/>
      <c r="H121" s="92"/>
      <c r="I121" s="92"/>
    </row>
    <row r="122" spans="1:9" ht="19.5" x14ac:dyDescent="0.25">
      <c r="A122" s="93" t="s">
        <v>22</v>
      </c>
      <c r="B122" s="93"/>
      <c r="C122" s="93"/>
      <c r="D122" s="93"/>
      <c r="E122" s="93"/>
      <c r="F122" s="93"/>
      <c r="G122" s="93"/>
      <c r="H122" s="93"/>
      <c r="I122" s="93"/>
    </row>
    <row r="123" spans="1:9" x14ac:dyDescent="0.25">
      <c r="A123" s="94" t="s">
        <v>23</v>
      </c>
      <c r="B123" s="94"/>
      <c r="C123" s="94"/>
      <c r="D123" s="94"/>
      <c r="E123" s="94"/>
      <c r="F123" s="94"/>
      <c r="G123" s="94"/>
      <c r="H123" s="94"/>
      <c r="I123" s="94"/>
    </row>
    <row r="124" spans="1:9" x14ac:dyDescent="0.25">
      <c r="A124" s="6"/>
      <c r="B124" s="5"/>
      <c r="C124" s="5"/>
      <c r="D124" s="5"/>
      <c r="E124" s="5"/>
      <c r="F124" s="5"/>
      <c r="G124" s="5"/>
      <c r="H124" s="5"/>
      <c r="I124" s="5"/>
    </row>
    <row r="125" spans="1:9" x14ac:dyDescent="0.25">
      <c r="A125" s="6"/>
      <c r="B125" s="5"/>
      <c r="C125" s="5"/>
      <c r="D125" s="5"/>
      <c r="E125" s="5"/>
      <c r="F125" s="5"/>
      <c r="G125" s="5"/>
      <c r="H125" s="5"/>
      <c r="I125" s="5"/>
    </row>
    <row r="126" spans="1:9" s="5" customFormat="1" ht="18.75" x14ac:dyDescent="0.3">
      <c r="A126" s="9" t="s">
        <v>25</v>
      </c>
      <c r="B126" s="90" t="s">
        <v>6</v>
      </c>
      <c r="C126" s="90"/>
      <c r="D126" s="9" t="s">
        <v>26</v>
      </c>
      <c r="F126" s="13" t="str">
        <f>$B$11&amp;5</f>
        <v>M5</v>
      </c>
      <c r="G126" s="22"/>
      <c r="H126" s="17"/>
    </row>
    <row r="127" spans="1:9" s="5" customFormat="1" x14ac:dyDescent="0.25">
      <c r="A127" s="7"/>
    </row>
    <row r="128" spans="1:9" s="5" customFormat="1" x14ac:dyDescent="0.25">
      <c r="A128" s="10"/>
    </row>
    <row r="129" spans="1:9" s="11" customFormat="1" x14ac:dyDescent="0.25">
      <c r="A129" s="91" t="s">
        <v>27</v>
      </c>
      <c r="B129" s="91"/>
      <c r="C129" s="15">
        <f>VLOOKUP(RIGHT($F126)*1,Matches!$A:$J,3,FALSE)</f>
        <v>2</v>
      </c>
      <c r="D129" s="14"/>
      <c r="F129" s="91" t="s">
        <v>27</v>
      </c>
      <c r="G129" s="91"/>
      <c r="H129" s="15">
        <f>VLOOKUP(RIGHT($F126)*1,Matches!$A:$J,4,FALSE)</f>
        <v>4</v>
      </c>
      <c r="I129" s="14"/>
    </row>
    <row r="130" spans="1:9" s="11" customFormat="1" x14ac:dyDescent="0.25">
      <c r="A130" s="91" t="s">
        <v>28</v>
      </c>
      <c r="B130" s="91"/>
      <c r="C130" s="15">
        <f>VLOOKUP(RIGHT($F126)*1,Matches!$A:$J,5,FALSE)</f>
        <v>4</v>
      </c>
      <c r="D130" s="14"/>
      <c r="E130" s="12" t="s">
        <v>24</v>
      </c>
      <c r="F130" s="91" t="s">
        <v>28</v>
      </c>
      <c r="G130" s="91"/>
      <c r="H130" s="15">
        <f>VLOOKUP(RIGHT($F126)*1,Matches!$A:$J,6,FALSE)</f>
        <v>12</v>
      </c>
      <c r="I130" s="14"/>
    </row>
    <row r="131" spans="1:9" s="5" customFormat="1" x14ac:dyDescent="0.25">
      <c r="A131" s="96" t="str">
        <f>VLOOKUP(C129&amp;$B$11,Players!$C:$H,2,FALSE)&amp;" ("&amp;VLOOKUP(C129&amp;$B$11,Players!$C:$H,3,FALSE)&amp;")"</f>
        <v>Michael Featherstone (Dome)</v>
      </c>
      <c r="B131" s="96"/>
      <c r="C131" s="96"/>
      <c r="D131" s="96"/>
      <c r="F131" s="96" t="str">
        <f>VLOOKUP(H129&amp;$B$11,Players!$C:$H,2,FALSE)&amp;" ("&amp;VLOOKUP(H129&amp;$B$11,Players!$C:$H,3,FALSE)&amp;")"</f>
        <v>Ji Qiao (Silver Feather)</v>
      </c>
      <c r="G131" s="96"/>
      <c r="H131" s="96"/>
      <c r="I131" s="96"/>
    </row>
    <row r="132" spans="1:9" s="5" customFormat="1" x14ac:dyDescent="0.25">
      <c r="A132" s="96" t="str">
        <f>VLOOKUP(C129&amp;$B$11,Players!$C:$H,4,FALSE)&amp;" ("&amp;VLOOKUP(C129&amp;$B$11,Players!$C:$H,5,FALSE)&amp;")"</f>
        <v>Ryan Tai (Dome)</v>
      </c>
      <c r="B132" s="96"/>
      <c r="C132" s="96"/>
      <c r="D132" s="96"/>
      <c r="F132" s="96" t="str">
        <f>VLOOKUP(H129&amp;$B$11,Players!$C:$H,4,FALSE)&amp;" ("&amp;VLOOKUP(H129&amp;$B$11,Players!$C:$H,5,FALSE)&amp;")"</f>
        <v>Henry Noorveriandi (Silver Feather)</v>
      </c>
      <c r="G132" s="96"/>
      <c r="H132" s="96"/>
      <c r="I132" s="96"/>
    </row>
    <row r="133" spans="1:9" s="5" customFormat="1" x14ac:dyDescent="0.25">
      <c r="A133" s="16"/>
      <c r="B133" s="16"/>
      <c r="C133" s="16"/>
      <c r="D133" s="16"/>
      <c r="F133" s="16"/>
      <c r="G133" s="16"/>
      <c r="H133" s="16"/>
      <c r="I133" s="16"/>
    </row>
    <row r="134" spans="1:9" s="5" customFormat="1" ht="18.75" x14ac:dyDescent="0.3">
      <c r="A134" s="16"/>
      <c r="B134" s="16"/>
      <c r="C134" s="16"/>
      <c r="D134" s="16"/>
      <c r="E134" s="13" t="s">
        <v>44</v>
      </c>
      <c r="F134" s="16"/>
      <c r="G134" s="16"/>
      <c r="H134" s="16"/>
      <c r="I134" s="16"/>
    </row>
    <row r="135" spans="1:9" s="5" customFormat="1" ht="15.75" x14ac:dyDescent="0.25">
      <c r="A135" s="8"/>
      <c r="D135" s="15">
        <f>VLOOKUP(RIGHT($F126)*1,Matches!$A:$J,7,FALSE)</f>
        <v>0</v>
      </c>
      <c r="F135" s="15">
        <f>VLOOKUP(RIGHT($F126)*1,Matches!$A:$J,8,FALSE)</f>
        <v>9</v>
      </c>
    </row>
    <row r="136" spans="1:9" ht="15.75" x14ac:dyDescent="0.25">
      <c r="A136" s="8"/>
      <c r="B136" s="5"/>
      <c r="C136" s="5"/>
      <c r="D136" s="5"/>
      <c r="F136" s="5"/>
      <c r="G136" s="5"/>
      <c r="H136" s="5"/>
      <c r="I136" s="5"/>
    </row>
    <row r="137" spans="1:9" ht="18.75" x14ac:dyDescent="0.3">
      <c r="A137" s="5"/>
      <c r="B137" s="5"/>
      <c r="C137" s="5"/>
      <c r="D137" s="5"/>
      <c r="E137" s="95" t="s">
        <v>29</v>
      </c>
      <c r="F137" s="95"/>
      <c r="G137" s="5"/>
      <c r="H137" s="5"/>
      <c r="I137" s="5"/>
    </row>
    <row r="138" spans="1:9" x14ac:dyDescent="0.25">
      <c r="A138" s="9"/>
      <c r="B138" s="5"/>
      <c r="C138" s="11" t="s">
        <v>30</v>
      </c>
      <c r="D138" s="5"/>
      <c r="E138" s="48">
        <v>21</v>
      </c>
      <c r="F138" s="48">
        <v>16</v>
      </c>
      <c r="G138" s="5"/>
      <c r="H138" s="5"/>
      <c r="I138" s="5"/>
    </row>
    <row r="139" spans="1:9" x14ac:dyDescent="0.25">
      <c r="A139" s="5"/>
      <c r="B139" s="5"/>
      <c r="C139" s="11" t="s">
        <v>31</v>
      </c>
      <c r="D139" s="5"/>
      <c r="E139" s="48">
        <v>21</v>
      </c>
      <c r="F139" s="48">
        <v>18</v>
      </c>
      <c r="G139" s="5"/>
      <c r="H139" s="5"/>
      <c r="I139" s="5"/>
    </row>
    <row r="140" spans="1:9" x14ac:dyDescent="0.25">
      <c r="C140" s="21" t="s">
        <v>32</v>
      </c>
      <c r="D140" s="5"/>
      <c r="E140" s="20">
        <f>IF(OR(E138="",E139=""),"",SUM(IF(MOD(E138,21),0,1),IF(MOD(E139,21),0,1)))</f>
        <v>2</v>
      </c>
      <c r="F140" s="20">
        <f>IF(OR(F138="",F139=""),"",SUM(IF(MOD(F138,21),0,1),IF(MOD(F139,21),0,1)))</f>
        <v>0</v>
      </c>
      <c r="G140" s="11"/>
    </row>
    <row r="141" spans="1:9" x14ac:dyDescent="0.25">
      <c r="E141" s="17"/>
      <c r="F141" s="17"/>
      <c r="G141" s="11"/>
    </row>
    <row r="142" spans="1:9" x14ac:dyDescent="0.25">
      <c r="E142" s="17"/>
      <c r="F142" s="17"/>
      <c r="G142" s="11"/>
    </row>
    <row r="143" spans="1:9" x14ac:dyDescent="0.25">
      <c r="E143" s="17"/>
      <c r="F143" s="17"/>
      <c r="G143" s="11"/>
    </row>
    <row r="144" spans="1:9" x14ac:dyDescent="0.25">
      <c r="E144" s="17"/>
      <c r="F144" s="17"/>
      <c r="G144" s="11"/>
    </row>
    <row r="145" spans="1:9" x14ac:dyDescent="0.25">
      <c r="E145" s="17"/>
      <c r="F145" s="17"/>
      <c r="G145" s="11"/>
    </row>
    <row r="146" spans="1:9" x14ac:dyDescent="0.25">
      <c r="E146" s="17"/>
      <c r="F146" s="17"/>
      <c r="G146" s="11"/>
    </row>
    <row r="147" spans="1:9" x14ac:dyDescent="0.25">
      <c r="E147" s="17"/>
      <c r="F147" s="17"/>
      <c r="G147" s="11"/>
    </row>
    <row r="148" spans="1:9" ht="7.5" customHeight="1" x14ac:dyDescent="0.25"/>
    <row r="149" spans="1:9" ht="18" x14ac:dyDescent="0.25">
      <c r="A149" s="89" t="s">
        <v>43</v>
      </c>
      <c r="B149" s="89"/>
      <c r="C149" s="89"/>
      <c r="D149" s="89"/>
      <c r="E149" s="89"/>
      <c r="F149" s="89"/>
      <c r="G149" s="89"/>
      <c r="H149" s="89"/>
      <c r="I149" s="89"/>
    </row>
    <row r="150" spans="1:9" ht="25.5" x14ac:dyDescent="0.35">
      <c r="A150" s="92" t="s">
        <v>21</v>
      </c>
      <c r="B150" s="92"/>
      <c r="C150" s="92"/>
      <c r="D150" s="92"/>
      <c r="E150" s="92"/>
      <c r="F150" s="92"/>
      <c r="G150" s="92"/>
      <c r="H150" s="92"/>
      <c r="I150" s="92"/>
    </row>
    <row r="151" spans="1:9" ht="19.5" x14ac:dyDescent="0.25">
      <c r="A151" s="93" t="s">
        <v>22</v>
      </c>
      <c r="B151" s="93"/>
      <c r="C151" s="93"/>
      <c r="D151" s="93"/>
      <c r="E151" s="93"/>
      <c r="F151" s="93"/>
      <c r="G151" s="93"/>
      <c r="H151" s="93"/>
      <c r="I151" s="93"/>
    </row>
    <row r="152" spans="1:9" x14ac:dyDescent="0.25">
      <c r="A152" s="94" t="s">
        <v>23</v>
      </c>
      <c r="B152" s="94"/>
      <c r="C152" s="94"/>
      <c r="D152" s="94"/>
      <c r="E152" s="94"/>
      <c r="F152" s="94"/>
      <c r="G152" s="94"/>
      <c r="H152" s="94"/>
      <c r="I152" s="94"/>
    </row>
    <row r="153" spans="1:9" x14ac:dyDescent="0.25">
      <c r="A153" s="6"/>
      <c r="B153" s="5"/>
      <c r="C153" s="5"/>
      <c r="D153" s="5"/>
      <c r="E153" s="5"/>
      <c r="F153" s="5"/>
      <c r="G153" s="5"/>
      <c r="H153" s="5"/>
      <c r="I153" s="5"/>
    </row>
    <row r="154" spans="1:9" x14ac:dyDescent="0.25">
      <c r="A154" s="6"/>
      <c r="B154" s="5"/>
      <c r="C154" s="5"/>
      <c r="D154" s="5"/>
      <c r="E154" s="5"/>
      <c r="F154" s="5"/>
      <c r="G154" s="5"/>
      <c r="H154" s="5"/>
      <c r="I154" s="5"/>
    </row>
    <row r="155" spans="1:9" s="5" customFormat="1" ht="18.75" x14ac:dyDescent="0.3">
      <c r="A155" s="9" t="s">
        <v>25</v>
      </c>
      <c r="B155" s="90" t="s">
        <v>6</v>
      </c>
      <c r="C155" s="90"/>
      <c r="D155" s="9" t="s">
        <v>26</v>
      </c>
      <c r="F155" s="13" t="str">
        <f>$B$11&amp;6</f>
        <v>M6</v>
      </c>
      <c r="G155" s="22"/>
      <c r="H155" s="17"/>
    </row>
    <row r="156" spans="1:9" s="5" customFormat="1" x14ac:dyDescent="0.25">
      <c r="A156" s="7"/>
    </row>
    <row r="157" spans="1:9" s="5" customFormat="1" x14ac:dyDescent="0.25">
      <c r="A157" s="10"/>
    </row>
    <row r="158" spans="1:9" s="11" customFormat="1" x14ac:dyDescent="0.25">
      <c r="A158" s="91" t="s">
        <v>27</v>
      </c>
      <c r="B158" s="91"/>
      <c r="C158" s="15">
        <f>VLOOKUP(RIGHT($F155)*1,Matches!$A:$J,3,FALSE)</f>
        <v>1</v>
      </c>
      <c r="D158" s="14"/>
      <c r="F158" s="91" t="s">
        <v>27</v>
      </c>
      <c r="G158" s="91"/>
      <c r="H158" s="15">
        <f>VLOOKUP(RIGHT($F155)*1,Matches!$A:$J,4,FALSE)</f>
        <v>3</v>
      </c>
      <c r="I158" s="14"/>
    </row>
    <row r="159" spans="1:9" s="11" customFormat="1" x14ac:dyDescent="0.25">
      <c r="A159" s="91" t="s">
        <v>28</v>
      </c>
      <c r="B159" s="91"/>
      <c r="C159" s="15">
        <f>VLOOKUP(RIGHT($F155)*1,Matches!$A:$J,5,FALSE)</f>
        <v>-15</v>
      </c>
      <c r="D159" s="14"/>
      <c r="E159" s="12" t="s">
        <v>24</v>
      </c>
      <c r="F159" s="91" t="s">
        <v>28</v>
      </c>
      <c r="G159" s="91"/>
      <c r="H159" s="15">
        <f>VLOOKUP(RIGHT($F155)*1,Matches!$A:$J,6,FALSE)</f>
        <v>8</v>
      </c>
      <c r="I159" s="14"/>
    </row>
    <row r="160" spans="1:9" s="5" customFormat="1" x14ac:dyDescent="0.25">
      <c r="A160" s="96" t="str">
        <f>VLOOKUP(C158&amp;$B$11,Players!$C:$H,2,FALSE)&amp;" ("&amp;VLOOKUP(C158&amp;$B$11,Players!$C:$H,3,FALSE)&amp;")"</f>
        <v>Jake White (Forest)</v>
      </c>
      <c r="B160" s="96"/>
      <c r="C160" s="96"/>
      <c r="D160" s="96"/>
      <c r="F160" s="96" t="str">
        <f>VLOOKUP(H158&amp;$B$11,Players!$C:$H,2,FALSE)&amp;" ("&amp;VLOOKUP(H158&amp;$B$11,Players!$C:$H,3,FALSE)&amp;")"</f>
        <v>Jetmond Ma (ACE)</v>
      </c>
      <c r="G160" s="96"/>
      <c r="H160" s="96"/>
      <c r="I160" s="96"/>
    </row>
    <row r="161" spans="1:9" s="5" customFormat="1" x14ac:dyDescent="0.25">
      <c r="A161" s="96" t="str">
        <f>VLOOKUP(C158&amp;$B$11,Players!$C:$H,4,FALSE)&amp;" ("&amp;VLOOKUP(C158&amp;$B$11,Players!$C:$H,5,FALSE)&amp;")"</f>
        <v>Dave Edgar (Forest)</v>
      </c>
      <c r="B161" s="96"/>
      <c r="C161" s="96"/>
      <c r="D161" s="96"/>
      <c r="F161" s="96" t="str">
        <f>VLOOKUP(H158&amp;$B$11,Players!$C:$H,4,FALSE)&amp;" ("&amp;VLOOKUP(H158&amp;$B$11,Players!$C:$H,5,FALSE)&amp;")"</f>
        <v>Yu Hin Wong (ACE)</v>
      </c>
      <c r="G161" s="96"/>
      <c r="H161" s="96"/>
      <c r="I161" s="96"/>
    </row>
    <row r="162" spans="1:9" s="5" customFormat="1" x14ac:dyDescent="0.25">
      <c r="A162" s="16"/>
      <c r="B162" s="16"/>
      <c r="C162" s="16"/>
      <c r="D162" s="16"/>
      <c r="F162" s="16"/>
      <c r="G162" s="16"/>
      <c r="H162" s="16"/>
      <c r="I162" s="16"/>
    </row>
    <row r="163" spans="1:9" s="5" customFormat="1" ht="18.75" x14ac:dyDescent="0.3">
      <c r="A163" s="16"/>
      <c r="B163" s="16"/>
      <c r="C163" s="16"/>
      <c r="D163" s="16"/>
      <c r="E163" s="13" t="s">
        <v>44</v>
      </c>
      <c r="F163" s="16"/>
      <c r="G163" s="16"/>
      <c r="H163" s="16"/>
      <c r="I163" s="16"/>
    </row>
    <row r="164" spans="1:9" s="5" customFormat="1" ht="15.75" x14ac:dyDescent="0.25">
      <c r="A164" s="8"/>
      <c r="D164" s="15">
        <f>VLOOKUP(RIGHT($F155)*1,Matches!$A:$J,7,FALSE)</f>
        <v>-15</v>
      </c>
      <c r="F164" s="15">
        <f>VLOOKUP(RIGHT($F155)*1,Matches!$A:$J,8,FALSE)</f>
        <v>8</v>
      </c>
    </row>
    <row r="165" spans="1:9" ht="15.75" x14ac:dyDescent="0.25">
      <c r="A165" s="8"/>
      <c r="B165" s="5"/>
      <c r="C165" s="5"/>
      <c r="D165" s="5"/>
      <c r="F165" s="5"/>
      <c r="G165" s="5"/>
      <c r="H165" s="5"/>
      <c r="I165" s="5"/>
    </row>
    <row r="166" spans="1:9" ht="18.75" x14ac:dyDescent="0.3">
      <c r="A166" s="5"/>
      <c r="B166" s="5"/>
      <c r="C166" s="5"/>
      <c r="D166" s="5"/>
      <c r="E166" s="95" t="s">
        <v>29</v>
      </c>
      <c r="F166" s="95"/>
      <c r="G166" s="5"/>
      <c r="H166" s="5"/>
      <c r="I166" s="5"/>
    </row>
    <row r="167" spans="1:9" x14ac:dyDescent="0.25">
      <c r="A167" s="9"/>
      <c r="B167" s="5"/>
      <c r="C167" s="11" t="s">
        <v>30</v>
      </c>
      <c r="D167" s="5"/>
      <c r="E167" s="48">
        <v>10</v>
      </c>
      <c r="F167" s="48">
        <v>21</v>
      </c>
      <c r="G167" s="5"/>
      <c r="H167" s="5"/>
      <c r="I167" s="5"/>
    </row>
    <row r="168" spans="1:9" x14ac:dyDescent="0.25">
      <c r="A168" s="5"/>
      <c r="B168" s="5"/>
      <c r="C168" s="11" t="s">
        <v>31</v>
      </c>
      <c r="D168" s="5"/>
      <c r="E168" s="48">
        <v>21</v>
      </c>
      <c r="F168" s="48">
        <v>20</v>
      </c>
      <c r="G168" s="5"/>
      <c r="H168" s="5"/>
      <c r="I168" s="5"/>
    </row>
    <row r="169" spans="1:9" x14ac:dyDescent="0.25">
      <c r="C169" s="21" t="s">
        <v>32</v>
      </c>
      <c r="D169" s="5"/>
      <c r="E169" s="20">
        <f>IF(OR(E167="",E168=""),"",SUM(IF(MOD(E167,21),0,1),IF(MOD(E168,21),0,1)))</f>
        <v>1</v>
      </c>
      <c r="F169" s="20">
        <f>IF(OR(F167="",F168=""),"",SUM(IF(MOD(F167,21),0,1),IF(MOD(F168,21),0,1)))</f>
        <v>1</v>
      </c>
      <c r="G169" s="11"/>
    </row>
    <row r="170" spans="1:9" x14ac:dyDescent="0.25">
      <c r="E170" s="17"/>
      <c r="F170" s="17"/>
      <c r="G170" s="11"/>
    </row>
  </sheetData>
  <sheetProtection sheet="1" objects="1" scenarios="1"/>
  <mergeCells count="84">
    <mergeCell ref="A152:I152"/>
    <mergeCell ref="E137:F137"/>
    <mergeCell ref="A160:D160"/>
    <mergeCell ref="F160:I160"/>
    <mergeCell ref="A151:I151"/>
    <mergeCell ref="A150:I150"/>
    <mergeCell ref="A161:D161"/>
    <mergeCell ref="F161:I161"/>
    <mergeCell ref="B155:C155"/>
    <mergeCell ref="A158:B158"/>
    <mergeCell ref="F158:G158"/>
    <mergeCell ref="A159:B159"/>
    <mergeCell ref="F159:G159"/>
    <mergeCell ref="F132:I132"/>
    <mergeCell ref="A149:I149"/>
    <mergeCell ref="A131:D131"/>
    <mergeCell ref="F131:I131"/>
    <mergeCell ref="A132:D132"/>
    <mergeCell ref="A130:B130"/>
    <mergeCell ref="F130:G130"/>
    <mergeCell ref="B126:C126"/>
    <mergeCell ref="A129:B129"/>
    <mergeCell ref="F129:G129"/>
    <mergeCell ref="A93:I93"/>
    <mergeCell ref="A94:I94"/>
    <mergeCell ref="A123:I123"/>
    <mergeCell ref="B97:C97"/>
    <mergeCell ref="A100:B100"/>
    <mergeCell ref="F100:G100"/>
    <mergeCell ref="A101:B101"/>
    <mergeCell ref="F101:G101"/>
    <mergeCell ref="A102:D102"/>
    <mergeCell ref="F102:I102"/>
    <mergeCell ref="A122:I122"/>
    <mergeCell ref="A120:I120"/>
    <mergeCell ref="A121:I121"/>
    <mergeCell ref="E108:F108"/>
    <mergeCell ref="A103:D103"/>
    <mergeCell ref="F103:I103"/>
    <mergeCell ref="A62:I62"/>
    <mergeCell ref="A63:I63"/>
    <mergeCell ref="A64:I64"/>
    <mergeCell ref="A65:I65"/>
    <mergeCell ref="A92:I92"/>
    <mergeCell ref="A91:I91"/>
    <mergeCell ref="F72:G72"/>
    <mergeCell ref="A73:D73"/>
    <mergeCell ref="F73:I73"/>
    <mergeCell ref="A72:B72"/>
    <mergeCell ref="E79:F79"/>
    <mergeCell ref="A74:D74"/>
    <mergeCell ref="F74:I74"/>
    <mergeCell ref="A15:D15"/>
    <mergeCell ref="A16:D16"/>
    <mergeCell ref="E21:F21"/>
    <mergeCell ref="A34:I34"/>
    <mergeCell ref="A36:I36"/>
    <mergeCell ref="F16:I16"/>
    <mergeCell ref="F15:I15"/>
    <mergeCell ref="E166:F166"/>
    <mergeCell ref="A33:I33"/>
    <mergeCell ref="A35:I35"/>
    <mergeCell ref="A42:B42"/>
    <mergeCell ref="F42:G42"/>
    <mergeCell ref="A45:D45"/>
    <mergeCell ref="F45:I45"/>
    <mergeCell ref="B39:C39"/>
    <mergeCell ref="B68:C68"/>
    <mergeCell ref="A71:B71"/>
    <mergeCell ref="F71:G71"/>
    <mergeCell ref="A43:B43"/>
    <mergeCell ref="F43:G43"/>
    <mergeCell ref="A44:D44"/>
    <mergeCell ref="F44:I44"/>
    <mergeCell ref="E50:F50"/>
    <mergeCell ref="A4:I4"/>
    <mergeCell ref="B10:C10"/>
    <mergeCell ref="F14:G14"/>
    <mergeCell ref="A13:B13"/>
    <mergeCell ref="A14:B14"/>
    <mergeCell ref="A5:I5"/>
    <mergeCell ref="F13:G13"/>
    <mergeCell ref="A6:I6"/>
    <mergeCell ref="A7:I7"/>
  </mergeCells>
  <phoneticPr fontId="14" type="noConversion"/>
  <pageMargins left="0.70866141732283472" right="0.70866141732283472" top="0" bottom="0" header="0" footer="0"/>
  <pageSetup paperSize="9" scale="89" fitToHeight="0" orientation="portrait" r:id="rId1"/>
  <rowBreaks count="2" manualBreakCount="2">
    <brk id="58" max="16383" man="1"/>
    <brk id="11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4:I170"/>
  <sheetViews>
    <sheetView zoomScaleNormal="100" workbookViewId="0"/>
  </sheetViews>
  <sheetFormatPr defaultRowHeight="15" x14ac:dyDescent="0.25"/>
  <cols>
    <col min="1" max="9" width="10.7109375" customWidth="1"/>
    <col min="10" max="10" width="9.140625" customWidth="1"/>
  </cols>
  <sheetData>
    <row r="4" spans="1:9" s="5" customFormat="1" ht="18" x14ac:dyDescent="0.25">
      <c r="A4" s="89" t="s">
        <v>43</v>
      </c>
      <c r="B4" s="89"/>
      <c r="C4" s="89"/>
      <c r="D4" s="89"/>
      <c r="E4" s="89"/>
      <c r="F4" s="89"/>
      <c r="G4" s="89"/>
      <c r="H4" s="89"/>
      <c r="I4" s="89"/>
    </row>
    <row r="5" spans="1:9" s="5" customFormat="1" ht="25.5" x14ac:dyDescent="0.35">
      <c r="A5" s="92" t="s">
        <v>21</v>
      </c>
      <c r="B5" s="92"/>
      <c r="C5" s="92"/>
      <c r="D5" s="92"/>
      <c r="E5" s="92"/>
      <c r="F5" s="92"/>
      <c r="G5" s="92"/>
      <c r="H5" s="92"/>
      <c r="I5" s="92"/>
    </row>
    <row r="6" spans="1:9" s="5" customFormat="1" ht="19.5" x14ac:dyDescent="0.25">
      <c r="A6" s="93" t="s">
        <v>22</v>
      </c>
      <c r="B6" s="93"/>
      <c r="C6" s="93"/>
      <c r="D6" s="93"/>
      <c r="E6" s="93"/>
      <c r="F6" s="93"/>
      <c r="G6" s="93"/>
      <c r="H6" s="93"/>
      <c r="I6" s="93"/>
    </row>
    <row r="7" spans="1:9" s="5" customFormat="1" x14ac:dyDescent="0.25">
      <c r="A7" s="94" t="s">
        <v>23</v>
      </c>
      <c r="B7" s="94"/>
      <c r="C7" s="94"/>
      <c r="D7" s="94"/>
      <c r="E7" s="94"/>
      <c r="F7" s="94"/>
      <c r="G7" s="94"/>
      <c r="H7" s="94"/>
      <c r="I7" s="94"/>
    </row>
    <row r="8" spans="1:9" s="5" customFormat="1" x14ac:dyDescent="0.25">
      <c r="A8" s="6"/>
    </row>
    <row r="9" spans="1:9" s="5" customFormat="1" x14ac:dyDescent="0.25">
      <c r="A9" s="6"/>
    </row>
    <row r="10" spans="1:9" s="5" customFormat="1" ht="18.75" x14ac:dyDescent="0.3">
      <c r="A10" s="9" t="s">
        <v>25</v>
      </c>
      <c r="B10" s="90" t="s">
        <v>7</v>
      </c>
      <c r="C10" s="90"/>
      <c r="D10" s="9" t="s">
        <v>26</v>
      </c>
      <c r="F10" s="13" t="str">
        <f>$B$11&amp;1</f>
        <v>L1</v>
      </c>
      <c r="G10" s="9"/>
      <c r="H10" s="17"/>
    </row>
    <row r="11" spans="1:9" s="5" customFormat="1" x14ac:dyDescent="0.25">
      <c r="A11" s="7"/>
      <c r="B11" s="41" t="s">
        <v>54</v>
      </c>
    </row>
    <row r="12" spans="1:9" s="5" customFormat="1" x14ac:dyDescent="0.25">
      <c r="A12" s="10"/>
    </row>
    <row r="13" spans="1:9" s="11" customFormat="1" x14ac:dyDescent="0.25">
      <c r="A13" s="91" t="s">
        <v>27</v>
      </c>
      <c r="B13" s="91"/>
      <c r="C13" s="15">
        <f>VLOOKUP(RIGHT($F10)*1,Matches!$A:$J,3,FALSE)</f>
        <v>1</v>
      </c>
      <c r="D13" s="14"/>
      <c r="F13" s="91" t="s">
        <v>27</v>
      </c>
      <c r="G13" s="91"/>
      <c r="H13" s="15">
        <f>VLOOKUP(RIGHT($F10)*1,Matches!$A:$J,4,FALSE)</f>
        <v>2</v>
      </c>
      <c r="I13" s="14"/>
    </row>
    <row r="14" spans="1:9" s="11" customFormat="1" x14ac:dyDescent="0.25">
      <c r="A14" s="91" t="s">
        <v>28</v>
      </c>
      <c r="B14" s="91"/>
      <c r="C14" s="15">
        <f>VLOOKUP(RIGHT($F10)*1,Matches!$A:$J,5,FALSE)</f>
        <v>-15</v>
      </c>
      <c r="D14" s="14"/>
      <c r="E14" s="12" t="s">
        <v>24</v>
      </c>
      <c r="F14" s="91" t="s">
        <v>28</v>
      </c>
      <c r="G14" s="91"/>
      <c r="H14" s="15">
        <f>VLOOKUP(RIGHT($F10)*1,Matches!$A:$J,6,FALSE)</f>
        <v>4</v>
      </c>
      <c r="I14" s="14"/>
    </row>
    <row r="15" spans="1:9" s="5" customFormat="1" x14ac:dyDescent="0.25">
      <c r="A15" s="96" t="str">
        <f>VLOOKUP(C13&amp;$B$11,Players!$C:$H,2,FALSE)&amp;" ("&amp;VLOOKUP(C13&amp;$B$11,Players!$C:$H,3,FALSE)&amp;")"</f>
        <v>Catriona Golds (Manchester Edgeley)</v>
      </c>
      <c r="B15" s="96"/>
      <c r="C15" s="96"/>
      <c r="D15" s="96"/>
      <c r="F15" s="96" t="str">
        <f>VLOOKUP(H13&amp;$B$11,Players!$C:$H,2,FALSE)&amp;" ("&amp;VLOOKUP(H13&amp;$B$11,Players!$C:$H,3,FALSE)&amp;")"</f>
        <v>Araadhna Singh (Forest)</v>
      </c>
      <c r="G15" s="96"/>
      <c r="H15" s="96"/>
      <c r="I15" s="96"/>
    </row>
    <row r="16" spans="1:9" s="5" customFormat="1" x14ac:dyDescent="0.25">
      <c r="A16" s="96" t="str">
        <f>VLOOKUP(C13&amp;$B$11,Players!$C:$H,4,FALSE)&amp;" ("&amp;VLOOKUP(C13&amp;$B$11,Players!$C:$H,5,FALSE)&amp;")"</f>
        <v>Rachel Flood (Manchester Edgeley)</v>
      </c>
      <c r="B16" s="96"/>
      <c r="C16" s="96"/>
      <c r="D16" s="96"/>
      <c r="F16" s="96" t="str">
        <f>VLOOKUP(H13&amp;$B$11,Players!$C:$H,4,FALSE)&amp;" ("&amp;VLOOKUP(H13&amp;$B$11,Players!$C:$H,5,FALSE)&amp;")"</f>
        <v>Hannah Burke (Medlock)</v>
      </c>
      <c r="G16" s="96"/>
      <c r="H16" s="96"/>
      <c r="I16" s="96"/>
    </row>
    <row r="17" spans="1:9" s="5" customFormat="1" x14ac:dyDescent="0.25">
      <c r="A17" s="16"/>
      <c r="B17" s="16"/>
      <c r="C17" s="16"/>
      <c r="D17" s="16"/>
      <c r="F17" s="16"/>
      <c r="G17" s="16"/>
      <c r="H17" s="16"/>
      <c r="I17" s="16"/>
    </row>
    <row r="18" spans="1:9" s="5" customFormat="1" ht="18.75" x14ac:dyDescent="0.3">
      <c r="A18" s="16"/>
      <c r="B18" s="16"/>
      <c r="C18" s="16"/>
      <c r="D18" s="16"/>
      <c r="E18" s="13" t="s">
        <v>44</v>
      </c>
      <c r="F18" s="16"/>
      <c r="G18" s="16"/>
      <c r="H18" s="16"/>
      <c r="I18" s="16"/>
    </row>
    <row r="19" spans="1:9" s="5" customFormat="1" ht="15.75" x14ac:dyDescent="0.25">
      <c r="A19" s="8"/>
      <c r="D19" s="15">
        <f>VLOOKUP(RIGHT($F10)*1,Matches!$A:$J,7,FALSE)</f>
        <v>-15</v>
      </c>
      <c r="F19" s="15">
        <f>VLOOKUP(RIGHT($F10)*1,Matches!$A:$J,8,FALSE)</f>
        <v>4</v>
      </c>
    </row>
    <row r="20" spans="1:9" s="5" customFormat="1" ht="15.75" x14ac:dyDescent="0.25">
      <c r="A20" s="8"/>
    </row>
    <row r="21" spans="1:9" s="5" customFormat="1" ht="18.75" x14ac:dyDescent="0.3">
      <c r="E21" s="95" t="s">
        <v>29</v>
      </c>
      <c r="F21" s="95"/>
    </row>
    <row r="22" spans="1:9" s="5" customFormat="1" x14ac:dyDescent="0.25">
      <c r="A22" s="9"/>
      <c r="C22" s="11" t="s">
        <v>30</v>
      </c>
      <c r="E22" s="48">
        <v>21</v>
      </c>
      <c r="F22" s="48">
        <v>15</v>
      </c>
    </row>
    <row r="23" spans="1:9" s="5" customFormat="1" x14ac:dyDescent="0.25">
      <c r="C23" s="11" t="s">
        <v>31</v>
      </c>
      <c r="E23" s="48">
        <v>21</v>
      </c>
      <c r="F23" s="48">
        <v>15</v>
      </c>
    </row>
    <row r="24" spans="1:9" s="5" customFormat="1" x14ac:dyDescent="0.25">
      <c r="A24" s="9"/>
      <c r="C24" s="21" t="s">
        <v>32</v>
      </c>
      <c r="E24" s="20">
        <f>IF(OR(E22="",E23=""),"",SUM(IF(MOD(E22,21),0,1),IF(MOD(E23,21),0,1)))</f>
        <v>2</v>
      </c>
      <c r="F24" s="20">
        <f>IF(OR(F22="",F23=""),"",SUM(IF(MOD(F22,21),0,1),IF(MOD(F23,21),0,1)))</f>
        <v>0</v>
      </c>
      <c r="G24" s="11"/>
    </row>
    <row r="25" spans="1:9" s="5" customFormat="1" x14ac:dyDescent="0.25">
      <c r="A25" s="9"/>
      <c r="E25" s="17"/>
      <c r="F25" s="17"/>
      <c r="G25" s="11"/>
    </row>
    <row r="26" spans="1:9" s="5" customFormat="1" x14ac:dyDescent="0.25">
      <c r="A26" s="9"/>
      <c r="E26" s="17"/>
      <c r="F26" s="17"/>
      <c r="G26" s="11"/>
    </row>
    <row r="27" spans="1:9" s="5" customFormat="1" x14ac:dyDescent="0.25">
      <c r="A27" s="9"/>
      <c r="E27" s="17"/>
      <c r="F27" s="17"/>
      <c r="G27" s="11"/>
    </row>
    <row r="28" spans="1:9" s="5" customFormat="1" x14ac:dyDescent="0.25">
      <c r="A28" s="9"/>
      <c r="E28" s="17"/>
      <c r="F28" s="17"/>
      <c r="G28" s="11"/>
    </row>
    <row r="29" spans="1:9" s="5" customFormat="1" x14ac:dyDescent="0.25">
      <c r="A29" s="9"/>
      <c r="E29" s="17"/>
      <c r="F29" s="17"/>
      <c r="G29" s="11"/>
    </row>
    <row r="30" spans="1:9" s="5" customFormat="1" x14ac:dyDescent="0.25">
      <c r="A30" s="9"/>
      <c r="E30" s="17"/>
      <c r="F30" s="17"/>
      <c r="G30" s="11"/>
    </row>
    <row r="31" spans="1:9" s="5" customFormat="1" x14ac:dyDescent="0.25">
      <c r="A31" s="9"/>
      <c r="E31" s="17"/>
      <c r="F31" s="17"/>
      <c r="G31" s="11"/>
    </row>
    <row r="32" spans="1:9" s="5" customFormat="1" ht="7.5" customHeight="1" x14ac:dyDescent="0.25">
      <c r="A32" s="9"/>
    </row>
    <row r="33" spans="1:9" s="5" customFormat="1" ht="18" x14ac:dyDescent="0.25">
      <c r="A33" s="89" t="s">
        <v>43</v>
      </c>
      <c r="B33" s="89"/>
      <c r="C33" s="89"/>
      <c r="D33" s="89"/>
      <c r="E33" s="89"/>
      <c r="F33" s="89"/>
      <c r="G33" s="89"/>
      <c r="H33" s="89"/>
      <c r="I33" s="89"/>
    </row>
    <row r="34" spans="1:9" s="5" customFormat="1" ht="25.5" x14ac:dyDescent="0.35">
      <c r="A34" s="92" t="s">
        <v>21</v>
      </c>
      <c r="B34" s="92"/>
      <c r="C34" s="92"/>
      <c r="D34" s="92"/>
      <c r="E34" s="92"/>
      <c r="F34" s="92"/>
      <c r="G34" s="92"/>
      <c r="H34" s="92"/>
      <c r="I34" s="92"/>
    </row>
    <row r="35" spans="1:9" s="5" customFormat="1" ht="19.5" x14ac:dyDescent="0.25">
      <c r="A35" s="93" t="s">
        <v>22</v>
      </c>
      <c r="B35" s="93"/>
      <c r="C35" s="93"/>
      <c r="D35" s="93"/>
      <c r="E35" s="93"/>
      <c r="F35" s="93"/>
      <c r="G35" s="93"/>
      <c r="H35" s="93"/>
      <c r="I35" s="93"/>
    </row>
    <row r="36" spans="1:9" s="5" customFormat="1" x14ac:dyDescent="0.25">
      <c r="A36" s="94" t="s">
        <v>23</v>
      </c>
      <c r="B36" s="94"/>
      <c r="C36" s="94"/>
      <c r="D36" s="94"/>
      <c r="E36" s="94"/>
      <c r="F36" s="94"/>
      <c r="G36" s="94"/>
      <c r="H36" s="94"/>
      <c r="I36" s="94"/>
    </row>
    <row r="37" spans="1:9" s="5" customFormat="1" x14ac:dyDescent="0.25">
      <c r="A37" s="6"/>
    </row>
    <row r="38" spans="1:9" s="5" customFormat="1" x14ac:dyDescent="0.25">
      <c r="A38" s="6"/>
    </row>
    <row r="39" spans="1:9" s="5" customFormat="1" ht="18.75" x14ac:dyDescent="0.3">
      <c r="A39" s="9" t="s">
        <v>25</v>
      </c>
      <c r="B39" s="90" t="s">
        <v>7</v>
      </c>
      <c r="C39" s="90"/>
      <c r="D39" s="9" t="s">
        <v>26</v>
      </c>
      <c r="F39" s="13" t="str">
        <f>$B$11&amp;2</f>
        <v>L2</v>
      </c>
      <c r="G39" s="22"/>
      <c r="H39" s="17"/>
    </row>
    <row r="40" spans="1:9" s="5" customFormat="1" x14ac:dyDescent="0.25">
      <c r="A40" s="7"/>
    </row>
    <row r="41" spans="1:9" s="5" customFormat="1" x14ac:dyDescent="0.25">
      <c r="A41" s="10"/>
    </row>
    <row r="42" spans="1:9" s="11" customFormat="1" x14ac:dyDescent="0.25">
      <c r="A42" s="91" t="s">
        <v>27</v>
      </c>
      <c r="B42" s="91"/>
      <c r="C42" s="15">
        <f>VLOOKUP(RIGHT($F39)*1,Matches!$A:$J,3,FALSE)</f>
        <v>3</v>
      </c>
      <c r="D42" s="14"/>
      <c r="F42" s="91" t="s">
        <v>27</v>
      </c>
      <c r="G42" s="91"/>
      <c r="H42" s="15">
        <f>VLOOKUP(RIGHT($F39)*1,Matches!$A:$J,4,FALSE)</f>
        <v>4</v>
      </c>
      <c r="I42" s="14"/>
    </row>
    <row r="43" spans="1:9" s="11" customFormat="1" x14ac:dyDescent="0.25">
      <c r="A43" s="91" t="s">
        <v>28</v>
      </c>
      <c r="B43" s="91"/>
      <c r="C43" s="15">
        <f>VLOOKUP(RIGHT($F39)*1,Matches!$A:$J,5,FALSE)</f>
        <v>8</v>
      </c>
      <c r="D43" s="14"/>
      <c r="E43" s="12" t="s">
        <v>24</v>
      </c>
      <c r="F43" s="91" t="s">
        <v>28</v>
      </c>
      <c r="G43" s="91"/>
      <c r="H43" s="15">
        <f>VLOOKUP(RIGHT($F39)*1,Matches!$A:$J,6,FALSE)</f>
        <v>12</v>
      </c>
      <c r="I43" s="14"/>
    </row>
    <row r="44" spans="1:9" s="5" customFormat="1" x14ac:dyDescent="0.25">
      <c r="A44" s="96" t="str">
        <f>VLOOKUP(C42&amp;$B$11,Players!$C:$H,2,FALSE)&amp;" ("&amp;VLOOKUP(C42&amp;$B$11,Players!$C:$H,3,FALSE)&amp;")"</f>
        <v>Hema Mistry (Medlock)</v>
      </c>
      <c r="B44" s="96"/>
      <c r="C44" s="96"/>
      <c r="D44" s="96"/>
      <c r="F44" s="96" t="str">
        <f>VLOOKUP(H42&amp;$B$11,Players!$C:$H,2,FALSE)&amp;" ("&amp;VLOOKUP(H42&amp;$B$11,Players!$C:$H,3,FALSE)&amp;")"</f>
        <v>Anne Tang (Nettles)</v>
      </c>
      <c r="G44" s="96"/>
      <c r="H44" s="96"/>
      <c r="I44" s="96"/>
    </row>
    <row r="45" spans="1:9" s="5" customFormat="1" x14ac:dyDescent="0.25">
      <c r="A45" s="96" t="str">
        <f>VLOOKUP(C42&amp;$B$11,Players!$C:$H,4,FALSE)&amp;" ("&amp;VLOOKUP(C42&amp;$B$11,Players!$C:$H,5,FALSE)&amp;")"</f>
        <v>Katie Donegan (Medlock)</v>
      </c>
      <c r="B45" s="96"/>
      <c r="C45" s="96"/>
      <c r="D45" s="96"/>
      <c r="F45" s="96" t="str">
        <f>VLOOKUP(H42&amp;$B$11,Players!$C:$H,4,FALSE)&amp;" ("&amp;VLOOKUP(H42&amp;$B$11,Players!$C:$H,5,FALSE)&amp;")"</f>
        <v>Stephanie Wyatt (Nettles)</v>
      </c>
      <c r="G45" s="96"/>
      <c r="H45" s="96"/>
      <c r="I45" s="96"/>
    </row>
    <row r="46" spans="1:9" s="5" customFormat="1" x14ac:dyDescent="0.25">
      <c r="A46" s="16"/>
      <c r="B46" s="16"/>
      <c r="C46" s="16"/>
      <c r="D46" s="16"/>
      <c r="F46" s="16"/>
      <c r="G46" s="16"/>
      <c r="H46" s="16"/>
      <c r="I46" s="16"/>
    </row>
    <row r="47" spans="1:9" s="5" customFormat="1" ht="18.75" x14ac:dyDescent="0.3">
      <c r="A47" s="16"/>
      <c r="B47" s="16"/>
      <c r="C47" s="16"/>
      <c r="D47" s="16"/>
      <c r="E47" s="13" t="s">
        <v>44</v>
      </c>
      <c r="F47" s="16"/>
      <c r="G47" s="16"/>
      <c r="H47" s="16"/>
      <c r="I47" s="16"/>
    </row>
    <row r="48" spans="1:9" s="5" customFormat="1" ht="15.75" x14ac:dyDescent="0.25">
      <c r="A48" s="8"/>
      <c r="D48" s="15">
        <f>VLOOKUP(RIGHT($F39)*1,Matches!$A:$J,7,FALSE)</f>
        <v>0</v>
      </c>
      <c r="F48" s="15">
        <f>VLOOKUP(RIGHT($F39)*1,Matches!$A:$J,8,FALSE)</f>
        <v>5</v>
      </c>
    </row>
    <row r="49" spans="1:9" s="5" customFormat="1" ht="15.75" x14ac:dyDescent="0.25">
      <c r="A49" s="8"/>
    </row>
    <row r="50" spans="1:9" s="5" customFormat="1" ht="18.75" x14ac:dyDescent="0.3">
      <c r="E50" s="95" t="s">
        <v>29</v>
      </c>
      <c r="F50" s="95"/>
    </row>
    <row r="51" spans="1:9" s="5" customFormat="1" x14ac:dyDescent="0.25">
      <c r="A51" s="9"/>
      <c r="C51" s="11" t="s">
        <v>30</v>
      </c>
      <c r="E51" s="48">
        <v>21</v>
      </c>
      <c r="F51" s="48">
        <v>18</v>
      </c>
    </row>
    <row r="52" spans="1:9" s="5" customFormat="1" x14ac:dyDescent="0.25">
      <c r="C52" s="11" t="s">
        <v>31</v>
      </c>
      <c r="E52" s="48">
        <v>18</v>
      </c>
      <c r="F52" s="48">
        <v>21</v>
      </c>
    </row>
    <row r="53" spans="1:9" s="5" customFormat="1" x14ac:dyDescent="0.25">
      <c r="A53" s="9"/>
      <c r="C53" s="21" t="s">
        <v>32</v>
      </c>
      <c r="E53" s="20">
        <f>IF(OR(E51="",E52=""),"",SUM(IF(MOD(E51,21),0,1),IF(MOD(E52,21),0,1)))</f>
        <v>1</v>
      </c>
      <c r="F53" s="20">
        <f>IF(OR(F51="",F52=""),"",SUM(IF(MOD(F51,21),0,1),IF(MOD(F52,21),0,1)))</f>
        <v>1</v>
      </c>
    </row>
    <row r="54" spans="1:9" s="5" customFormat="1" x14ac:dyDescent="0.25">
      <c r="A54" s="9"/>
      <c r="C54" s="19"/>
      <c r="E54" s="16"/>
      <c r="F54" s="16"/>
    </row>
    <row r="55" spans="1:9" s="5" customFormat="1" x14ac:dyDescent="0.25">
      <c r="A55" s="9"/>
      <c r="E55" s="17"/>
      <c r="F55" s="17"/>
      <c r="G55" s="11"/>
    </row>
    <row r="56" spans="1:9" s="5" customFormat="1" x14ac:dyDescent="0.25">
      <c r="A56" s="9"/>
      <c r="E56" s="17"/>
      <c r="F56" s="17"/>
      <c r="G56" s="11"/>
    </row>
    <row r="57" spans="1:9" s="5" customFormat="1" x14ac:dyDescent="0.25">
      <c r="A57" s="9"/>
      <c r="E57" s="17"/>
      <c r="F57" s="17"/>
      <c r="G57" s="11"/>
    </row>
    <row r="58" spans="1:9" s="5" customFormat="1" x14ac:dyDescent="0.25">
      <c r="A58" s="9"/>
      <c r="C58" s="19"/>
      <c r="E58" s="16"/>
      <c r="F58" s="16"/>
    </row>
    <row r="59" spans="1:9" s="5" customFormat="1" x14ac:dyDescent="0.25">
      <c r="A59" s="9"/>
      <c r="C59" s="19"/>
      <c r="E59" s="16"/>
      <c r="F59" s="16"/>
    </row>
    <row r="60" spans="1:9" s="5" customFormat="1" x14ac:dyDescent="0.25">
      <c r="A60" s="9"/>
      <c r="C60" s="19"/>
      <c r="E60" s="16"/>
      <c r="F60" s="16"/>
    </row>
    <row r="61" spans="1:9" s="5" customFormat="1" x14ac:dyDescent="0.25">
      <c r="A61" s="9"/>
      <c r="C61" s="19"/>
      <c r="E61" s="16"/>
      <c r="F61" s="16"/>
    </row>
    <row r="62" spans="1:9" s="5" customFormat="1" ht="18" x14ac:dyDescent="0.25">
      <c r="A62" s="89" t="s">
        <v>43</v>
      </c>
      <c r="B62" s="89"/>
      <c r="C62" s="89"/>
      <c r="D62" s="89"/>
      <c r="E62" s="89"/>
      <c r="F62" s="89"/>
      <c r="G62" s="89"/>
      <c r="H62" s="89"/>
      <c r="I62" s="89"/>
    </row>
    <row r="63" spans="1:9" s="5" customFormat="1" ht="25.5" x14ac:dyDescent="0.35">
      <c r="A63" s="92" t="s">
        <v>21</v>
      </c>
      <c r="B63" s="92"/>
      <c r="C63" s="92"/>
      <c r="D63" s="92"/>
      <c r="E63" s="92"/>
      <c r="F63" s="92"/>
      <c r="G63" s="92"/>
      <c r="H63" s="92"/>
      <c r="I63" s="92"/>
    </row>
    <row r="64" spans="1:9" s="5" customFormat="1" ht="19.5" x14ac:dyDescent="0.25">
      <c r="A64" s="93" t="s">
        <v>22</v>
      </c>
      <c r="B64" s="93"/>
      <c r="C64" s="93"/>
      <c r="D64" s="93"/>
      <c r="E64" s="93"/>
      <c r="F64" s="93"/>
      <c r="G64" s="93"/>
      <c r="H64" s="93"/>
      <c r="I64" s="93"/>
    </row>
    <row r="65" spans="1:9" s="5" customFormat="1" x14ac:dyDescent="0.25">
      <c r="A65" s="94" t="s">
        <v>23</v>
      </c>
      <c r="B65" s="94"/>
      <c r="C65" s="94"/>
      <c r="D65" s="94"/>
      <c r="E65" s="94"/>
      <c r="F65" s="94"/>
      <c r="G65" s="94"/>
      <c r="H65" s="94"/>
      <c r="I65" s="94"/>
    </row>
    <row r="66" spans="1:9" s="5" customFormat="1" x14ac:dyDescent="0.25">
      <c r="A66" s="6"/>
    </row>
    <row r="67" spans="1:9" s="5" customFormat="1" x14ac:dyDescent="0.25">
      <c r="A67" s="6"/>
    </row>
    <row r="68" spans="1:9" s="5" customFormat="1" ht="18.75" x14ac:dyDescent="0.3">
      <c r="A68" s="9" t="s">
        <v>25</v>
      </c>
      <c r="B68" s="90" t="s">
        <v>7</v>
      </c>
      <c r="C68" s="90"/>
      <c r="D68" s="9" t="s">
        <v>26</v>
      </c>
      <c r="F68" s="13" t="str">
        <f>$B$11&amp;3</f>
        <v>L3</v>
      </c>
      <c r="G68" s="22"/>
      <c r="H68" s="17"/>
    </row>
    <row r="69" spans="1:9" s="5" customFormat="1" x14ac:dyDescent="0.25">
      <c r="A69" s="7"/>
    </row>
    <row r="70" spans="1:9" s="5" customFormat="1" x14ac:dyDescent="0.25">
      <c r="A70" s="10"/>
    </row>
    <row r="71" spans="1:9" s="11" customFormat="1" x14ac:dyDescent="0.25">
      <c r="A71" s="91" t="s">
        <v>27</v>
      </c>
      <c r="B71" s="91"/>
      <c r="C71" s="15">
        <f>VLOOKUP(RIGHT($F68)*1,Matches!$A:$J,3,FALSE)</f>
        <v>2</v>
      </c>
      <c r="D71" s="14"/>
      <c r="F71" s="91" t="s">
        <v>27</v>
      </c>
      <c r="G71" s="91"/>
      <c r="H71" s="15">
        <f>VLOOKUP(RIGHT($F68)*1,Matches!$A:$J,4,FALSE)</f>
        <v>3</v>
      </c>
      <c r="I71" s="14"/>
    </row>
    <row r="72" spans="1:9" s="11" customFormat="1" x14ac:dyDescent="0.25">
      <c r="A72" s="91" t="s">
        <v>28</v>
      </c>
      <c r="B72" s="91"/>
      <c r="C72" s="15">
        <f>VLOOKUP(RIGHT($F68)*1,Matches!$A:$J,5,FALSE)</f>
        <v>4</v>
      </c>
      <c r="D72" s="14"/>
      <c r="E72" s="12" t="s">
        <v>24</v>
      </c>
      <c r="F72" s="91" t="s">
        <v>28</v>
      </c>
      <c r="G72" s="91"/>
      <c r="H72" s="15">
        <f>VLOOKUP(RIGHT($F68)*1,Matches!$A:$J,6,FALSE)</f>
        <v>8</v>
      </c>
      <c r="I72" s="14"/>
    </row>
    <row r="73" spans="1:9" s="5" customFormat="1" x14ac:dyDescent="0.25">
      <c r="A73" s="96" t="str">
        <f>VLOOKUP(C71&amp;$B$11,Players!$C:$H,2,FALSE)&amp;" ("&amp;VLOOKUP(C71&amp;$B$11,Players!$C:$H,3,FALSE)&amp;")"</f>
        <v>Araadhna Singh (Forest)</v>
      </c>
      <c r="B73" s="96"/>
      <c r="C73" s="96"/>
      <c r="D73" s="96"/>
      <c r="F73" s="96" t="str">
        <f>VLOOKUP(H71&amp;$B$11,Players!$C:$H,2,FALSE)&amp;" ("&amp;VLOOKUP(H71&amp;$B$11,Players!$C:$H,3,FALSE)&amp;")"</f>
        <v>Hema Mistry (Medlock)</v>
      </c>
      <c r="G73" s="96"/>
      <c r="H73" s="96"/>
      <c r="I73" s="96"/>
    </row>
    <row r="74" spans="1:9" s="5" customFormat="1" x14ac:dyDescent="0.25">
      <c r="A74" s="96" t="str">
        <f>VLOOKUP(C71&amp;$B$11,Players!$C:$H,4,FALSE)&amp;" ("&amp;VLOOKUP(C71&amp;$B$11,Players!$C:$H,5,FALSE)&amp;")"</f>
        <v>Hannah Burke (Medlock)</v>
      </c>
      <c r="B74" s="96"/>
      <c r="C74" s="96"/>
      <c r="D74" s="96"/>
      <c r="F74" s="96" t="str">
        <f>VLOOKUP(H71&amp;$B$11,Players!$C:$H,4,FALSE)&amp;" ("&amp;VLOOKUP(H71&amp;$B$11,Players!$C:$H,5,FALSE)&amp;")"</f>
        <v>Katie Donegan (Medlock)</v>
      </c>
      <c r="G74" s="96"/>
      <c r="H74" s="96"/>
      <c r="I74" s="96"/>
    </row>
    <row r="75" spans="1:9" s="5" customFormat="1" x14ac:dyDescent="0.25">
      <c r="A75" s="16"/>
      <c r="B75" s="16"/>
      <c r="C75" s="16"/>
      <c r="D75" s="16"/>
      <c r="F75" s="16"/>
      <c r="G75" s="16"/>
      <c r="H75" s="16"/>
      <c r="I75" s="16"/>
    </row>
    <row r="76" spans="1:9" s="5" customFormat="1" ht="18.75" x14ac:dyDescent="0.3">
      <c r="A76" s="16"/>
      <c r="B76" s="16"/>
      <c r="C76" s="16"/>
      <c r="D76" s="16"/>
      <c r="E76" s="13" t="s">
        <v>44</v>
      </c>
      <c r="F76" s="16"/>
      <c r="G76" s="16"/>
      <c r="H76" s="16"/>
      <c r="I76" s="16"/>
    </row>
    <row r="77" spans="1:9" s="5" customFormat="1" ht="15.75" x14ac:dyDescent="0.25">
      <c r="A77" s="8"/>
      <c r="D77" s="15">
        <f>VLOOKUP(RIGHT($F68)*1,Matches!$A:$J,7,FALSE)</f>
        <v>0</v>
      </c>
      <c r="F77" s="15">
        <f>VLOOKUP(RIGHT($F68)*1,Matches!$A:$J,8,FALSE)</f>
        <v>5</v>
      </c>
    </row>
    <row r="78" spans="1:9" s="5" customFormat="1" ht="15.75" x14ac:dyDescent="0.25">
      <c r="A78" s="8"/>
    </row>
    <row r="79" spans="1:9" s="5" customFormat="1" ht="18.75" x14ac:dyDescent="0.3">
      <c r="E79" s="95" t="s">
        <v>29</v>
      </c>
      <c r="F79" s="95"/>
    </row>
    <row r="80" spans="1:9" s="5" customFormat="1" x14ac:dyDescent="0.25">
      <c r="A80" s="9"/>
      <c r="C80" s="11" t="s">
        <v>30</v>
      </c>
      <c r="E80" s="48">
        <v>16</v>
      </c>
      <c r="F80" s="48">
        <v>21</v>
      </c>
    </row>
    <row r="81" spans="1:9" s="5" customFormat="1" x14ac:dyDescent="0.25">
      <c r="C81" s="11" t="s">
        <v>31</v>
      </c>
      <c r="E81" s="48">
        <v>9</v>
      </c>
      <c r="F81" s="48">
        <v>21</v>
      </c>
    </row>
    <row r="82" spans="1:9" s="5" customFormat="1" ht="15.75" x14ac:dyDescent="0.25">
      <c r="A82" s="8"/>
      <c r="C82" s="21" t="s">
        <v>32</v>
      </c>
      <c r="E82" s="20">
        <f>IF(OR(E80="",E81=""),"",SUM(IF(MOD(E80,21),0,1),IF(MOD(E81,21),0,1)))</f>
        <v>0</v>
      </c>
      <c r="F82" s="20">
        <f>IF(OR(F80="",F81=""),"",SUM(IF(MOD(F80,21),0,1),IF(MOD(F81,21),0,1)))</f>
        <v>2</v>
      </c>
      <c r="G82" s="11"/>
    </row>
    <row r="83" spans="1:9" s="5" customFormat="1" ht="15.75" x14ac:dyDescent="0.25">
      <c r="A83" s="8"/>
      <c r="E83" s="17"/>
      <c r="F83" s="17"/>
      <c r="G83" s="11"/>
    </row>
    <row r="84" spans="1:9" s="5" customFormat="1" ht="15.75" x14ac:dyDescent="0.25">
      <c r="A84" s="8"/>
      <c r="E84" s="17"/>
      <c r="F84" s="17"/>
      <c r="G84" s="11"/>
    </row>
    <row r="85" spans="1:9" s="5" customFormat="1" ht="15.75" x14ac:dyDescent="0.25">
      <c r="A85" s="8"/>
      <c r="E85" s="17"/>
      <c r="F85" s="17"/>
      <c r="G85" s="11"/>
    </row>
    <row r="86" spans="1:9" s="5" customFormat="1" ht="15.75" x14ac:dyDescent="0.25">
      <c r="A86" s="8"/>
      <c r="E86" s="17"/>
      <c r="F86" s="17"/>
      <c r="G86" s="11"/>
    </row>
    <row r="87" spans="1:9" s="5" customFormat="1" ht="15.75" x14ac:dyDescent="0.25">
      <c r="A87" s="8"/>
      <c r="E87" s="17"/>
      <c r="F87" s="17"/>
      <c r="G87" s="11"/>
    </row>
    <row r="88" spans="1:9" s="5" customFormat="1" ht="15.75" x14ac:dyDescent="0.25">
      <c r="A88" s="8"/>
      <c r="E88" s="17"/>
      <c r="F88" s="17"/>
      <c r="G88" s="11"/>
    </row>
    <row r="89" spans="1:9" s="5" customFormat="1" ht="15.75" x14ac:dyDescent="0.25">
      <c r="A89" s="8"/>
      <c r="E89" s="17"/>
      <c r="F89" s="17"/>
      <c r="G89" s="11"/>
    </row>
    <row r="90" spans="1:9" s="5" customFormat="1" ht="7.5" customHeight="1" x14ac:dyDescent="0.25"/>
    <row r="91" spans="1:9" s="5" customFormat="1" ht="18" x14ac:dyDescent="0.25">
      <c r="A91" s="89" t="s">
        <v>43</v>
      </c>
      <c r="B91" s="89"/>
      <c r="C91" s="89"/>
      <c r="D91" s="89"/>
      <c r="E91" s="89"/>
      <c r="F91" s="89"/>
      <c r="G91" s="89"/>
      <c r="H91" s="89"/>
      <c r="I91" s="89"/>
    </row>
    <row r="92" spans="1:9" s="5" customFormat="1" ht="25.5" x14ac:dyDescent="0.35">
      <c r="A92" s="92" t="s">
        <v>21</v>
      </c>
      <c r="B92" s="92"/>
      <c r="C92" s="92"/>
      <c r="D92" s="92"/>
      <c r="E92" s="92"/>
      <c r="F92" s="92"/>
      <c r="G92" s="92"/>
      <c r="H92" s="92"/>
      <c r="I92" s="92"/>
    </row>
    <row r="93" spans="1:9" s="5" customFormat="1" ht="19.5" x14ac:dyDescent="0.25">
      <c r="A93" s="93" t="s">
        <v>22</v>
      </c>
      <c r="B93" s="93"/>
      <c r="C93" s="93"/>
      <c r="D93" s="93"/>
      <c r="E93" s="93"/>
      <c r="F93" s="93"/>
      <c r="G93" s="93"/>
      <c r="H93" s="93"/>
      <c r="I93" s="93"/>
    </row>
    <row r="94" spans="1:9" s="5" customFormat="1" x14ac:dyDescent="0.25">
      <c r="A94" s="94" t="s">
        <v>23</v>
      </c>
      <c r="B94" s="94"/>
      <c r="C94" s="94"/>
      <c r="D94" s="94"/>
      <c r="E94" s="94"/>
      <c r="F94" s="94"/>
      <c r="G94" s="94"/>
      <c r="H94" s="94"/>
      <c r="I94" s="94"/>
    </row>
    <row r="95" spans="1:9" s="5" customFormat="1" x14ac:dyDescent="0.25">
      <c r="A95" s="6"/>
    </row>
    <row r="96" spans="1:9" s="5" customFormat="1" x14ac:dyDescent="0.25">
      <c r="A96" s="6"/>
    </row>
    <row r="97" spans="1:9" s="5" customFormat="1" ht="18.75" x14ac:dyDescent="0.3">
      <c r="A97" s="9" t="s">
        <v>25</v>
      </c>
      <c r="B97" s="90" t="s">
        <v>7</v>
      </c>
      <c r="C97" s="90"/>
      <c r="D97" s="9" t="s">
        <v>26</v>
      </c>
      <c r="F97" s="13" t="str">
        <f>$B$11&amp;4</f>
        <v>L4</v>
      </c>
      <c r="G97" s="22"/>
      <c r="H97" s="17"/>
    </row>
    <row r="98" spans="1:9" s="5" customFormat="1" x14ac:dyDescent="0.25">
      <c r="A98" s="7"/>
    </row>
    <row r="99" spans="1:9" s="5" customFormat="1" x14ac:dyDescent="0.25">
      <c r="A99" s="10"/>
    </row>
    <row r="100" spans="1:9" s="11" customFormat="1" x14ac:dyDescent="0.25">
      <c r="A100" s="91" t="s">
        <v>27</v>
      </c>
      <c r="B100" s="91"/>
      <c r="C100" s="15">
        <f>VLOOKUP(RIGHT($F97)*1,Matches!$A:$J,3,FALSE)</f>
        <v>1</v>
      </c>
      <c r="D100" s="14"/>
      <c r="F100" s="91" t="s">
        <v>27</v>
      </c>
      <c r="G100" s="91"/>
      <c r="H100" s="15">
        <f>VLOOKUP(RIGHT($F97)*1,Matches!$A:$J,4,FALSE)</f>
        <v>4</v>
      </c>
      <c r="I100" s="14"/>
    </row>
    <row r="101" spans="1:9" s="11" customFormat="1" x14ac:dyDescent="0.25">
      <c r="A101" s="91" t="s">
        <v>28</v>
      </c>
      <c r="B101" s="91"/>
      <c r="C101" s="15">
        <f>VLOOKUP(RIGHT($F97)*1,Matches!$A:$J,5,FALSE)</f>
        <v>-15</v>
      </c>
      <c r="D101" s="14"/>
      <c r="E101" s="12" t="s">
        <v>24</v>
      </c>
      <c r="F101" s="91" t="s">
        <v>28</v>
      </c>
      <c r="G101" s="91"/>
      <c r="H101" s="15">
        <f>VLOOKUP(RIGHT($F97)*1,Matches!$A:$J,6,FALSE)</f>
        <v>12</v>
      </c>
      <c r="I101" s="14"/>
    </row>
    <row r="102" spans="1:9" s="5" customFormat="1" x14ac:dyDescent="0.25">
      <c r="A102" s="96" t="str">
        <f>VLOOKUP(C100&amp;$B$11,Players!$C:$H,2,FALSE)&amp;" ("&amp;VLOOKUP(C100&amp;$B$11,Players!$C:$H,3,FALSE)&amp;")"</f>
        <v>Catriona Golds (Manchester Edgeley)</v>
      </c>
      <c r="B102" s="96"/>
      <c r="C102" s="96"/>
      <c r="D102" s="96"/>
      <c r="F102" s="96" t="str">
        <f>VLOOKUP(H100&amp;$B$11,Players!$C:$H,2,FALSE)&amp;" ("&amp;VLOOKUP(H100&amp;$B$11,Players!$C:$H,3,FALSE)&amp;")"</f>
        <v>Anne Tang (Nettles)</v>
      </c>
      <c r="G102" s="96"/>
      <c r="H102" s="96"/>
      <c r="I102" s="96"/>
    </row>
    <row r="103" spans="1:9" s="5" customFormat="1" x14ac:dyDescent="0.25">
      <c r="A103" s="96" t="str">
        <f>VLOOKUP(C100&amp;$B$11,Players!$C:$H,4,FALSE)&amp;" ("&amp;VLOOKUP(C100&amp;$B$11,Players!$C:$H,5,FALSE)&amp;")"</f>
        <v>Rachel Flood (Manchester Edgeley)</v>
      </c>
      <c r="B103" s="96"/>
      <c r="C103" s="96"/>
      <c r="D103" s="96"/>
      <c r="F103" s="96" t="str">
        <f>VLOOKUP(H100&amp;$B$11,Players!$C:$H,4,FALSE)&amp;" ("&amp;VLOOKUP(H100&amp;$B$11,Players!$C:$H,5,FALSE)&amp;")"</f>
        <v>Stephanie Wyatt (Nettles)</v>
      </c>
      <c r="G103" s="96"/>
      <c r="H103" s="96"/>
      <c r="I103" s="96"/>
    </row>
    <row r="104" spans="1:9" s="5" customFormat="1" x14ac:dyDescent="0.25">
      <c r="A104" s="16"/>
      <c r="B104" s="16"/>
      <c r="C104" s="16"/>
      <c r="D104" s="16"/>
      <c r="F104" s="16"/>
      <c r="G104" s="16"/>
      <c r="H104" s="16"/>
      <c r="I104" s="16"/>
    </row>
    <row r="105" spans="1:9" s="5" customFormat="1" ht="18.75" x14ac:dyDescent="0.3">
      <c r="A105" s="16"/>
      <c r="B105" s="16"/>
      <c r="C105" s="16"/>
      <c r="D105" s="16"/>
      <c r="E105" s="13" t="s">
        <v>44</v>
      </c>
      <c r="F105" s="16"/>
      <c r="G105" s="16"/>
      <c r="H105" s="16"/>
      <c r="I105" s="16"/>
    </row>
    <row r="106" spans="1:9" s="5" customFormat="1" ht="15.75" x14ac:dyDescent="0.25">
      <c r="A106" s="8"/>
      <c r="D106" s="15">
        <f>VLOOKUP(RIGHT($F97)*1,Matches!$A:$J,7,FALSE)</f>
        <v>-15</v>
      </c>
      <c r="F106" s="15">
        <f>VLOOKUP(RIGHT($F97)*1,Matches!$A:$J,8,FALSE)</f>
        <v>12</v>
      </c>
    </row>
    <row r="107" spans="1:9" s="5" customFormat="1" ht="15.75" x14ac:dyDescent="0.25">
      <c r="A107" s="8"/>
    </row>
    <row r="108" spans="1:9" s="5" customFormat="1" ht="18.75" x14ac:dyDescent="0.3">
      <c r="E108" s="95" t="s">
        <v>29</v>
      </c>
      <c r="F108" s="95"/>
    </row>
    <row r="109" spans="1:9" s="5" customFormat="1" x14ac:dyDescent="0.25">
      <c r="A109" s="9"/>
      <c r="C109" s="11" t="s">
        <v>30</v>
      </c>
      <c r="E109" s="48">
        <v>9</v>
      </c>
      <c r="F109" s="48">
        <v>21</v>
      </c>
    </row>
    <row r="110" spans="1:9" s="5" customFormat="1" x14ac:dyDescent="0.25">
      <c r="C110" s="11" t="s">
        <v>31</v>
      </c>
      <c r="E110" s="48">
        <v>21</v>
      </c>
      <c r="F110" s="48">
        <v>18</v>
      </c>
    </row>
    <row r="111" spans="1:9" x14ac:dyDescent="0.25">
      <c r="A111" s="9"/>
      <c r="B111" s="5"/>
      <c r="C111" s="21" t="s">
        <v>32</v>
      </c>
      <c r="D111" s="5"/>
      <c r="E111" s="20">
        <f>IF(OR(E109="",E110=""),"",SUM(IF(MOD(E109,21),0,1),IF(MOD(E110,21),0,1)))</f>
        <v>1</v>
      </c>
      <c r="F111" s="20">
        <f>IF(OR(F109="",F110=""),"",SUM(IF(MOD(F109,21),0,1),IF(MOD(F110,21),0,1)))</f>
        <v>1</v>
      </c>
      <c r="G111" s="11"/>
      <c r="H111" s="5"/>
      <c r="I111" s="5"/>
    </row>
    <row r="112" spans="1:9" x14ac:dyDescent="0.25">
      <c r="A112" s="9"/>
      <c r="B112" s="5"/>
      <c r="C112" s="21"/>
      <c r="D112" s="5"/>
      <c r="E112" s="16"/>
      <c r="F112" s="16"/>
      <c r="G112" s="11"/>
      <c r="H112" s="5"/>
      <c r="I112" s="5"/>
    </row>
    <row r="113" spans="1:9" x14ac:dyDescent="0.25">
      <c r="A113" s="9"/>
      <c r="B113" s="5"/>
      <c r="C113" s="21"/>
      <c r="D113" s="5"/>
      <c r="E113" s="16"/>
      <c r="F113" s="16"/>
      <c r="G113" s="11"/>
      <c r="H113" s="5"/>
      <c r="I113" s="5"/>
    </row>
    <row r="114" spans="1:9" x14ac:dyDescent="0.25">
      <c r="A114" s="9"/>
      <c r="B114" s="5"/>
      <c r="C114" s="21"/>
      <c r="D114" s="5"/>
      <c r="E114" s="16"/>
      <c r="F114" s="16"/>
      <c r="G114" s="11"/>
      <c r="H114" s="5"/>
      <c r="I114" s="5"/>
    </row>
    <row r="115" spans="1:9" x14ac:dyDescent="0.25">
      <c r="A115" s="9"/>
      <c r="B115" s="5"/>
      <c r="C115" s="5"/>
      <c r="D115" s="5"/>
      <c r="E115" s="17"/>
      <c r="F115" s="17"/>
      <c r="G115" s="11"/>
      <c r="H115" s="5"/>
      <c r="I115" s="5"/>
    </row>
    <row r="116" spans="1:9" x14ac:dyDescent="0.25">
      <c r="A116" s="9"/>
      <c r="B116" s="5"/>
      <c r="C116" s="5"/>
      <c r="D116" s="5"/>
      <c r="E116" s="17"/>
      <c r="F116" s="17"/>
      <c r="G116" s="11"/>
      <c r="H116" s="5"/>
      <c r="I116" s="5"/>
    </row>
    <row r="117" spans="1:9" x14ac:dyDescent="0.25">
      <c r="A117" s="9"/>
      <c r="B117" s="5"/>
      <c r="C117" s="5"/>
      <c r="D117" s="5"/>
      <c r="E117" s="17"/>
      <c r="F117" s="17"/>
      <c r="G117" s="11"/>
      <c r="H117" s="5"/>
      <c r="I117" s="5"/>
    </row>
    <row r="118" spans="1:9" x14ac:dyDescent="0.25">
      <c r="A118" s="9"/>
      <c r="B118" s="5"/>
      <c r="C118" s="5"/>
      <c r="D118" s="5"/>
      <c r="E118" s="17"/>
      <c r="F118" s="17"/>
      <c r="G118" s="11"/>
      <c r="H118" s="5"/>
      <c r="I118" s="5"/>
    </row>
    <row r="119" spans="1:9" x14ac:dyDescent="0.25">
      <c r="A119" s="9"/>
      <c r="B119" s="5"/>
      <c r="C119" s="5"/>
      <c r="D119" s="5"/>
      <c r="E119" s="17"/>
      <c r="F119" s="17"/>
      <c r="G119" s="11"/>
      <c r="H119" s="5"/>
      <c r="I119" s="5"/>
    </row>
    <row r="120" spans="1:9" ht="18" x14ac:dyDescent="0.25">
      <c r="A120" s="89" t="s">
        <v>43</v>
      </c>
      <c r="B120" s="89"/>
      <c r="C120" s="89"/>
      <c r="D120" s="89"/>
      <c r="E120" s="89"/>
      <c r="F120" s="89"/>
      <c r="G120" s="89"/>
      <c r="H120" s="89"/>
      <c r="I120" s="89"/>
    </row>
    <row r="121" spans="1:9" ht="25.5" x14ac:dyDescent="0.35">
      <c r="A121" s="92" t="s">
        <v>21</v>
      </c>
      <c r="B121" s="92"/>
      <c r="C121" s="92"/>
      <c r="D121" s="92"/>
      <c r="E121" s="92"/>
      <c r="F121" s="92"/>
      <c r="G121" s="92"/>
      <c r="H121" s="92"/>
      <c r="I121" s="92"/>
    </row>
    <row r="122" spans="1:9" ht="19.5" x14ac:dyDescent="0.25">
      <c r="A122" s="93" t="s">
        <v>22</v>
      </c>
      <c r="B122" s="93"/>
      <c r="C122" s="93"/>
      <c r="D122" s="93"/>
      <c r="E122" s="93"/>
      <c r="F122" s="93"/>
      <c r="G122" s="93"/>
      <c r="H122" s="93"/>
      <c r="I122" s="93"/>
    </row>
    <row r="123" spans="1:9" x14ac:dyDescent="0.25">
      <c r="A123" s="94" t="s">
        <v>23</v>
      </c>
      <c r="B123" s="94"/>
      <c r="C123" s="94"/>
      <c r="D123" s="94"/>
      <c r="E123" s="94"/>
      <c r="F123" s="94"/>
      <c r="G123" s="94"/>
      <c r="H123" s="94"/>
      <c r="I123" s="94"/>
    </row>
    <row r="124" spans="1:9" x14ac:dyDescent="0.25">
      <c r="A124" s="6"/>
      <c r="B124" s="5"/>
      <c r="C124" s="5"/>
      <c r="D124" s="5"/>
      <c r="E124" s="5"/>
      <c r="F124" s="5"/>
      <c r="G124" s="5"/>
      <c r="H124" s="5"/>
      <c r="I124" s="5"/>
    </row>
    <row r="125" spans="1:9" x14ac:dyDescent="0.25">
      <c r="A125" s="6"/>
      <c r="B125" s="5"/>
      <c r="C125" s="5"/>
      <c r="D125" s="5"/>
      <c r="E125" s="5"/>
      <c r="F125" s="5"/>
      <c r="G125" s="5"/>
      <c r="H125" s="5"/>
      <c r="I125" s="5"/>
    </row>
    <row r="126" spans="1:9" s="5" customFormat="1" ht="18.75" x14ac:dyDescent="0.3">
      <c r="A126" s="9" t="s">
        <v>25</v>
      </c>
      <c r="B126" s="90" t="s">
        <v>7</v>
      </c>
      <c r="C126" s="90"/>
      <c r="D126" s="9" t="s">
        <v>26</v>
      </c>
      <c r="F126" s="13" t="str">
        <f>$B$11&amp;5</f>
        <v>L5</v>
      </c>
      <c r="G126" s="22"/>
      <c r="H126" s="17"/>
    </row>
    <row r="127" spans="1:9" s="5" customFormat="1" x14ac:dyDescent="0.25">
      <c r="A127" s="7"/>
    </row>
    <row r="128" spans="1:9" s="5" customFormat="1" x14ac:dyDescent="0.25">
      <c r="A128" s="10"/>
    </row>
    <row r="129" spans="1:9" s="11" customFormat="1" x14ac:dyDescent="0.25">
      <c r="A129" s="91" t="s">
        <v>27</v>
      </c>
      <c r="B129" s="91"/>
      <c r="C129" s="15">
        <f>VLOOKUP(RIGHT($F126)*1,Matches!$A:$J,3,FALSE)</f>
        <v>2</v>
      </c>
      <c r="D129" s="14"/>
      <c r="F129" s="91" t="s">
        <v>27</v>
      </c>
      <c r="G129" s="91"/>
      <c r="H129" s="15">
        <f>VLOOKUP(RIGHT($F126)*1,Matches!$A:$J,4,FALSE)</f>
        <v>4</v>
      </c>
      <c r="I129" s="14"/>
    </row>
    <row r="130" spans="1:9" s="11" customFormat="1" x14ac:dyDescent="0.25">
      <c r="A130" s="91" t="s">
        <v>28</v>
      </c>
      <c r="B130" s="91"/>
      <c r="C130" s="15">
        <f>VLOOKUP(RIGHT($F126)*1,Matches!$A:$J,5,FALSE)</f>
        <v>4</v>
      </c>
      <c r="D130" s="14"/>
      <c r="E130" s="12" t="s">
        <v>24</v>
      </c>
      <c r="F130" s="91" t="s">
        <v>28</v>
      </c>
      <c r="G130" s="91"/>
      <c r="H130" s="15">
        <f>VLOOKUP(RIGHT($F126)*1,Matches!$A:$J,6,FALSE)</f>
        <v>12</v>
      </c>
      <c r="I130" s="14"/>
    </row>
    <row r="131" spans="1:9" s="5" customFormat="1" x14ac:dyDescent="0.25">
      <c r="A131" s="96" t="str">
        <f>VLOOKUP(C129&amp;$B$11,Players!$C:$H,2,FALSE)&amp;" ("&amp;VLOOKUP(C129&amp;$B$11,Players!$C:$H,3,FALSE)&amp;")"</f>
        <v>Araadhna Singh (Forest)</v>
      </c>
      <c r="B131" s="96"/>
      <c r="C131" s="96"/>
      <c r="D131" s="96"/>
      <c r="F131" s="96" t="str">
        <f>VLOOKUP(H129&amp;$B$11,Players!$C:$H,2,FALSE)&amp;" ("&amp;VLOOKUP(H129&amp;$B$11,Players!$C:$H,3,FALSE)&amp;")"</f>
        <v>Anne Tang (Nettles)</v>
      </c>
      <c r="G131" s="96"/>
      <c r="H131" s="96"/>
      <c r="I131" s="96"/>
    </row>
    <row r="132" spans="1:9" s="5" customFormat="1" x14ac:dyDescent="0.25">
      <c r="A132" s="96" t="str">
        <f>VLOOKUP(C129&amp;$B$11,Players!$C:$H,4,FALSE)&amp;" ("&amp;VLOOKUP(C129&amp;$B$11,Players!$C:$H,5,FALSE)&amp;")"</f>
        <v>Hannah Burke (Medlock)</v>
      </c>
      <c r="B132" s="96"/>
      <c r="C132" s="96"/>
      <c r="D132" s="96"/>
      <c r="F132" s="96" t="str">
        <f>VLOOKUP(H129&amp;$B$11,Players!$C:$H,4,FALSE)&amp;" ("&amp;VLOOKUP(H129&amp;$B$11,Players!$C:$H,5,FALSE)&amp;")"</f>
        <v>Stephanie Wyatt (Nettles)</v>
      </c>
      <c r="G132" s="96"/>
      <c r="H132" s="96"/>
      <c r="I132" s="96"/>
    </row>
    <row r="133" spans="1:9" s="5" customFormat="1" x14ac:dyDescent="0.25">
      <c r="A133" s="16"/>
      <c r="B133" s="16"/>
      <c r="C133" s="16"/>
      <c r="D133" s="16"/>
      <c r="F133" s="16"/>
      <c r="G133" s="16"/>
      <c r="H133" s="16"/>
      <c r="I133" s="16"/>
    </row>
    <row r="134" spans="1:9" s="5" customFormat="1" ht="18.75" x14ac:dyDescent="0.3">
      <c r="A134" s="16"/>
      <c r="B134" s="16"/>
      <c r="C134" s="16"/>
      <c r="D134" s="16"/>
      <c r="E134" s="13" t="s">
        <v>44</v>
      </c>
      <c r="F134" s="16"/>
      <c r="G134" s="16"/>
      <c r="H134" s="16"/>
      <c r="I134" s="16"/>
    </row>
    <row r="135" spans="1:9" s="5" customFormat="1" ht="15.75" x14ac:dyDescent="0.25">
      <c r="A135" s="8"/>
      <c r="D135" s="15">
        <f>VLOOKUP(RIGHT($F126)*1,Matches!$A:$J,7,FALSE)</f>
        <v>0</v>
      </c>
      <c r="F135" s="15">
        <f>VLOOKUP(RIGHT($F126)*1,Matches!$A:$J,8,FALSE)</f>
        <v>9</v>
      </c>
    </row>
    <row r="136" spans="1:9" ht="15.75" x14ac:dyDescent="0.25">
      <c r="A136" s="8"/>
      <c r="B136" s="5"/>
      <c r="C136" s="5"/>
      <c r="D136" s="5"/>
      <c r="F136" s="5"/>
      <c r="G136" s="5"/>
      <c r="H136" s="5"/>
      <c r="I136" s="5"/>
    </row>
    <row r="137" spans="1:9" ht="18.75" x14ac:dyDescent="0.3">
      <c r="A137" s="5"/>
      <c r="B137" s="5"/>
      <c r="C137" s="5"/>
      <c r="D137" s="5"/>
      <c r="E137" s="95" t="s">
        <v>29</v>
      </c>
      <c r="F137" s="95"/>
      <c r="G137" s="5"/>
      <c r="H137" s="5"/>
      <c r="I137" s="5"/>
    </row>
    <row r="138" spans="1:9" x14ac:dyDescent="0.25">
      <c r="A138" s="9"/>
      <c r="B138" s="5"/>
      <c r="C138" s="11" t="s">
        <v>30</v>
      </c>
      <c r="D138" s="5"/>
      <c r="E138" s="48">
        <v>21</v>
      </c>
      <c r="F138" s="48">
        <v>20</v>
      </c>
      <c r="G138" s="5"/>
      <c r="H138" s="5"/>
      <c r="I138" s="5"/>
    </row>
    <row r="139" spans="1:9" x14ac:dyDescent="0.25">
      <c r="A139" s="5"/>
      <c r="B139" s="5"/>
      <c r="C139" s="11" t="s">
        <v>31</v>
      </c>
      <c r="D139" s="5"/>
      <c r="E139" s="48">
        <v>20</v>
      </c>
      <c r="F139" s="48">
        <v>21</v>
      </c>
      <c r="G139" s="5"/>
      <c r="H139" s="5"/>
      <c r="I139" s="5"/>
    </row>
    <row r="140" spans="1:9" x14ac:dyDescent="0.25">
      <c r="C140" s="21" t="s">
        <v>32</v>
      </c>
      <c r="D140" s="5"/>
      <c r="E140" s="20">
        <f>IF(OR(E138="",E139=""),"",SUM(IF(MOD(E138,21),0,1),IF(MOD(E139,21),0,1)))</f>
        <v>1</v>
      </c>
      <c r="F140" s="20">
        <f>IF(OR(F138="",F139=""),"",SUM(IF(MOD(F138,21),0,1),IF(MOD(F139,21),0,1)))</f>
        <v>1</v>
      </c>
      <c r="G140" s="11"/>
    </row>
    <row r="141" spans="1:9" x14ac:dyDescent="0.25">
      <c r="E141" s="17"/>
      <c r="F141" s="17"/>
      <c r="G141" s="11"/>
    </row>
    <row r="142" spans="1:9" x14ac:dyDescent="0.25">
      <c r="E142" s="17"/>
      <c r="F142" s="17"/>
      <c r="G142" s="11"/>
    </row>
    <row r="143" spans="1:9" x14ac:dyDescent="0.25">
      <c r="E143" s="17"/>
      <c r="F143" s="17"/>
      <c r="G143" s="11"/>
    </row>
    <row r="144" spans="1:9" x14ac:dyDescent="0.25">
      <c r="E144" s="17"/>
      <c r="F144" s="17"/>
      <c r="G144" s="11"/>
    </row>
    <row r="145" spans="1:9" x14ac:dyDescent="0.25">
      <c r="E145" s="17"/>
      <c r="F145" s="17"/>
      <c r="G145" s="11"/>
    </row>
    <row r="146" spans="1:9" x14ac:dyDescent="0.25">
      <c r="E146" s="17"/>
      <c r="F146" s="17"/>
      <c r="G146" s="11"/>
    </row>
    <row r="147" spans="1:9" x14ac:dyDescent="0.25">
      <c r="E147" s="17"/>
      <c r="F147" s="17"/>
      <c r="G147" s="11"/>
    </row>
    <row r="148" spans="1:9" ht="7.5" customHeight="1" x14ac:dyDescent="0.25"/>
    <row r="149" spans="1:9" ht="18" x14ac:dyDescent="0.25">
      <c r="A149" s="89" t="s">
        <v>43</v>
      </c>
      <c r="B149" s="89"/>
      <c r="C149" s="89"/>
      <c r="D149" s="89"/>
      <c r="E149" s="89"/>
      <c r="F149" s="89"/>
      <c r="G149" s="89"/>
      <c r="H149" s="89"/>
      <c r="I149" s="89"/>
    </row>
    <row r="150" spans="1:9" ht="25.5" x14ac:dyDescent="0.35">
      <c r="A150" s="92" t="s">
        <v>21</v>
      </c>
      <c r="B150" s="92"/>
      <c r="C150" s="92"/>
      <c r="D150" s="92"/>
      <c r="E150" s="92"/>
      <c r="F150" s="92"/>
      <c r="G150" s="92"/>
      <c r="H150" s="92"/>
      <c r="I150" s="92"/>
    </row>
    <row r="151" spans="1:9" ht="19.5" x14ac:dyDescent="0.25">
      <c r="A151" s="93" t="s">
        <v>22</v>
      </c>
      <c r="B151" s="93"/>
      <c r="C151" s="93"/>
      <c r="D151" s="93"/>
      <c r="E151" s="93"/>
      <c r="F151" s="93"/>
      <c r="G151" s="93"/>
      <c r="H151" s="93"/>
      <c r="I151" s="93"/>
    </row>
    <row r="152" spans="1:9" x14ac:dyDescent="0.25">
      <c r="A152" s="94" t="s">
        <v>23</v>
      </c>
      <c r="B152" s="94"/>
      <c r="C152" s="94"/>
      <c r="D152" s="94"/>
      <c r="E152" s="94"/>
      <c r="F152" s="94"/>
      <c r="G152" s="94"/>
      <c r="H152" s="94"/>
      <c r="I152" s="94"/>
    </row>
    <row r="153" spans="1:9" x14ac:dyDescent="0.25">
      <c r="A153" s="6"/>
      <c r="B153" s="5"/>
      <c r="C153" s="5"/>
      <c r="D153" s="5"/>
      <c r="E153" s="5"/>
      <c r="F153" s="5"/>
      <c r="G153" s="5"/>
      <c r="H153" s="5"/>
      <c r="I153" s="5"/>
    </row>
    <row r="154" spans="1:9" x14ac:dyDescent="0.25">
      <c r="A154" s="6"/>
      <c r="B154" s="5"/>
      <c r="C154" s="5"/>
      <c r="D154" s="5"/>
      <c r="E154" s="5"/>
      <c r="F154" s="5"/>
      <c r="G154" s="5"/>
      <c r="H154" s="5"/>
      <c r="I154" s="5"/>
    </row>
    <row r="155" spans="1:9" s="5" customFormat="1" ht="18.75" x14ac:dyDescent="0.3">
      <c r="A155" s="9" t="s">
        <v>25</v>
      </c>
      <c r="B155" s="90" t="s">
        <v>7</v>
      </c>
      <c r="C155" s="90"/>
      <c r="D155" s="9" t="s">
        <v>26</v>
      </c>
      <c r="F155" s="13" t="str">
        <f>$B$11&amp;6</f>
        <v>L6</v>
      </c>
      <c r="G155" s="22"/>
      <c r="H155" s="17"/>
    </row>
    <row r="156" spans="1:9" s="5" customFormat="1" x14ac:dyDescent="0.25">
      <c r="A156" s="7"/>
    </row>
    <row r="157" spans="1:9" s="5" customFormat="1" x14ac:dyDescent="0.25">
      <c r="A157" s="10"/>
    </row>
    <row r="158" spans="1:9" s="11" customFormat="1" x14ac:dyDescent="0.25">
      <c r="A158" s="91" t="s">
        <v>27</v>
      </c>
      <c r="B158" s="91"/>
      <c r="C158" s="15">
        <f>VLOOKUP(RIGHT($F155)*1,Matches!$A:$J,3,FALSE)</f>
        <v>1</v>
      </c>
      <c r="D158" s="14"/>
      <c r="F158" s="91" t="s">
        <v>27</v>
      </c>
      <c r="G158" s="91"/>
      <c r="H158" s="15">
        <f>VLOOKUP(RIGHT($F155)*1,Matches!$A:$J,4,FALSE)</f>
        <v>3</v>
      </c>
      <c r="I158" s="14"/>
    </row>
    <row r="159" spans="1:9" s="11" customFormat="1" x14ac:dyDescent="0.25">
      <c r="A159" s="91" t="s">
        <v>28</v>
      </c>
      <c r="B159" s="91"/>
      <c r="C159" s="15">
        <f>VLOOKUP(RIGHT($F155)*1,Matches!$A:$J,5,FALSE)</f>
        <v>-15</v>
      </c>
      <c r="D159" s="14"/>
      <c r="E159" s="12" t="s">
        <v>24</v>
      </c>
      <c r="F159" s="91" t="s">
        <v>28</v>
      </c>
      <c r="G159" s="91"/>
      <c r="H159" s="15">
        <f>VLOOKUP(RIGHT($F155)*1,Matches!$A:$J,6,FALSE)</f>
        <v>8</v>
      </c>
      <c r="I159" s="14"/>
    </row>
    <row r="160" spans="1:9" s="5" customFormat="1" x14ac:dyDescent="0.25">
      <c r="A160" s="96" t="str">
        <f>VLOOKUP(C158&amp;$B$11,Players!$C:$H,2,FALSE)&amp;" ("&amp;VLOOKUP(C158&amp;$B$11,Players!$C:$H,3,FALSE)&amp;")"</f>
        <v>Catriona Golds (Manchester Edgeley)</v>
      </c>
      <c r="B160" s="96"/>
      <c r="C160" s="96"/>
      <c r="D160" s="96"/>
      <c r="F160" s="96" t="str">
        <f>VLOOKUP(H158&amp;$B$11,Players!$C:$H,2,FALSE)&amp;" ("&amp;VLOOKUP(H158&amp;$B$11,Players!$C:$H,3,FALSE)&amp;")"</f>
        <v>Hema Mistry (Medlock)</v>
      </c>
      <c r="G160" s="96"/>
      <c r="H160" s="96"/>
      <c r="I160" s="96"/>
    </row>
    <row r="161" spans="1:9" s="5" customFormat="1" x14ac:dyDescent="0.25">
      <c r="A161" s="96" t="str">
        <f>VLOOKUP(C158&amp;$B$11,Players!$C:$H,4,FALSE)&amp;" ("&amp;VLOOKUP(C158&amp;$B$11,Players!$C:$H,5,FALSE)&amp;")"</f>
        <v>Rachel Flood (Manchester Edgeley)</v>
      </c>
      <c r="B161" s="96"/>
      <c r="C161" s="96"/>
      <c r="D161" s="96"/>
      <c r="F161" s="96" t="str">
        <f>VLOOKUP(H158&amp;$B$11,Players!$C:$H,4,FALSE)&amp;" ("&amp;VLOOKUP(H158&amp;$B$11,Players!$C:$H,5,FALSE)&amp;")"</f>
        <v>Katie Donegan (Medlock)</v>
      </c>
      <c r="G161" s="96"/>
      <c r="H161" s="96"/>
      <c r="I161" s="96"/>
    </row>
    <row r="162" spans="1:9" s="5" customFormat="1" x14ac:dyDescent="0.25">
      <c r="A162" s="16"/>
      <c r="B162" s="16"/>
      <c r="C162" s="16"/>
      <c r="D162" s="16"/>
      <c r="F162" s="16"/>
      <c r="G162" s="16"/>
      <c r="H162" s="16"/>
      <c r="I162" s="16"/>
    </row>
    <row r="163" spans="1:9" s="5" customFormat="1" ht="18.75" x14ac:dyDescent="0.3">
      <c r="A163" s="16"/>
      <c r="B163" s="16"/>
      <c r="C163" s="16"/>
      <c r="D163" s="16"/>
      <c r="E163" s="13" t="s">
        <v>44</v>
      </c>
      <c r="F163" s="16"/>
      <c r="G163" s="16"/>
      <c r="H163" s="16"/>
      <c r="I163" s="16"/>
    </row>
    <row r="164" spans="1:9" s="5" customFormat="1" ht="15.75" x14ac:dyDescent="0.25">
      <c r="A164" s="8"/>
      <c r="D164" s="15">
        <f>VLOOKUP(RIGHT($F155)*1,Matches!$A:$J,7,FALSE)</f>
        <v>-15</v>
      </c>
      <c r="F164" s="15">
        <f>VLOOKUP(RIGHT($F155)*1,Matches!$A:$J,8,FALSE)</f>
        <v>8</v>
      </c>
    </row>
    <row r="165" spans="1:9" ht="15.75" x14ac:dyDescent="0.25">
      <c r="A165" s="8"/>
      <c r="B165" s="5"/>
      <c r="C165" s="5"/>
      <c r="D165" s="5"/>
      <c r="F165" s="5"/>
      <c r="G165" s="5"/>
      <c r="H165" s="5"/>
      <c r="I165" s="5"/>
    </row>
    <row r="166" spans="1:9" ht="18.75" x14ac:dyDescent="0.3">
      <c r="A166" s="5"/>
      <c r="B166" s="5"/>
      <c r="C166" s="5"/>
      <c r="D166" s="5"/>
      <c r="E166" s="95" t="s">
        <v>29</v>
      </c>
      <c r="F166" s="95"/>
      <c r="G166" s="5"/>
      <c r="H166" s="5"/>
      <c r="I166" s="5"/>
    </row>
    <row r="167" spans="1:9" x14ac:dyDescent="0.25">
      <c r="A167" s="9"/>
      <c r="B167" s="5"/>
      <c r="C167" s="11" t="s">
        <v>30</v>
      </c>
      <c r="D167" s="5"/>
      <c r="E167" s="48">
        <v>21</v>
      </c>
      <c r="F167" s="48">
        <v>19</v>
      </c>
      <c r="G167" s="5"/>
      <c r="H167" s="5"/>
      <c r="I167" s="5"/>
    </row>
    <row r="168" spans="1:9" x14ac:dyDescent="0.25">
      <c r="A168" s="5"/>
      <c r="B168" s="5"/>
      <c r="C168" s="11" t="s">
        <v>31</v>
      </c>
      <c r="D168" s="5"/>
      <c r="E168" s="48">
        <v>21</v>
      </c>
      <c r="F168" s="48">
        <v>19</v>
      </c>
      <c r="G168" s="5"/>
      <c r="H168" s="5"/>
      <c r="I168" s="5"/>
    </row>
    <row r="169" spans="1:9" x14ac:dyDescent="0.25">
      <c r="C169" s="21" t="s">
        <v>32</v>
      </c>
      <c r="D169" s="5"/>
      <c r="E169" s="20">
        <f>IF(OR(E167="",E168=""),"",SUM(IF(MOD(E167,21),0,1),IF(MOD(E168,21),0,1)))</f>
        <v>2</v>
      </c>
      <c r="F169" s="20">
        <f>IF(OR(F167="",F168=""),"",SUM(IF(MOD(F167,21),0,1),IF(MOD(F168,21),0,1)))</f>
        <v>0</v>
      </c>
      <c r="G169" s="11"/>
    </row>
    <row r="170" spans="1:9" x14ac:dyDescent="0.25">
      <c r="E170" s="17"/>
      <c r="F170" s="17"/>
      <c r="G170" s="11"/>
    </row>
  </sheetData>
  <sheetProtection sheet="1" objects="1" scenarios="1"/>
  <mergeCells count="84">
    <mergeCell ref="A13:B13"/>
    <mergeCell ref="F13:G13"/>
    <mergeCell ref="A4:I4"/>
    <mergeCell ref="A5:I5"/>
    <mergeCell ref="A6:I6"/>
    <mergeCell ref="A7:I7"/>
    <mergeCell ref="B10:C10"/>
    <mergeCell ref="B39:C39"/>
    <mergeCell ref="A14:B14"/>
    <mergeCell ref="F14:G14"/>
    <mergeCell ref="A15:D15"/>
    <mergeCell ref="F15:I15"/>
    <mergeCell ref="A16:D16"/>
    <mergeCell ref="F16:I16"/>
    <mergeCell ref="E21:F21"/>
    <mergeCell ref="A33:I33"/>
    <mergeCell ref="A34:I34"/>
    <mergeCell ref="A35:I35"/>
    <mergeCell ref="A36:I36"/>
    <mergeCell ref="A64:I64"/>
    <mergeCell ref="A42:B42"/>
    <mergeCell ref="F42:G42"/>
    <mergeCell ref="A43:B43"/>
    <mergeCell ref="F43:G43"/>
    <mergeCell ref="A44:D44"/>
    <mergeCell ref="F44:I44"/>
    <mergeCell ref="A45:D45"/>
    <mergeCell ref="F45:I45"/>
    <mergeCell ref="E50:F50"/>
    <mergeCell ref="A62:I62"/>
    <mergeCell ref="A63:I63"/>
    <mergeCell ref="A91:I91"/>
    <mergeCell ref="A65:I65"/>
    <mergeCell ref="B68:C68"/>
    <mergeCell ref="A71:B71"/>
    <mergeCell ref="F71:G71"/>
    <mergeCell ref="A72:B72"/>
    <mergeCell ref="F72:G72"/>
    <mergeCell ref="A73:D73"/>
    <mergeCell ref="F73:I73"/>
    <mergeCell ref="A74:D74"/>
    <mergeCell ref="F74:I74"/>
    <mergeCell ref="E79:F79"/>
    <mergeCell ref="A92:I92"/>
    <mergeCell ref="A93:I93"/>
    <mergeCell ref="A94:I94"/>
    <mergeCell ref="B97:C97"/>
    <mergeCell ref="A100:B100"/>
    <mergeCell ref="F100:G100"/>
    <mergeCell ref="B126:C126"/>
    <mergeCell ref="A101:B101"/>
    <mergeCell ref="F101:G101"/>
    <mergeCell ref="A102:D102"/>
    <mergeCell ref="F102:I102"/>
    <mergeCell ref="A103:D103"/>
    <mergeCell ref="F103:I103"/>
    <mergeCell ref="E108:F108"/>
    <mergeCell ref="A120:I120"/>
    <mergeCell ref="A121:I121"/>
    <mergeCell ref="A122:I122"/>
    <mergeCell ref="A123:I123"/>
    <mergeCell ref="A151:I151"/>
    <mergeCell ref="A129:B129"/>
    <mergeCell ref="F129:G129"/>
    <mergeCell ref="A130:B130"/>
    <mergeCell ref="F130:G130"/>
    <mergeCell ref="A131:D131"/>
    <mergeCell ref="F131:I131"/>
    <mergeCell ref="A132:D132"/>
    <mergeCell ref="F132:I132"/>
    <mergeCell ref="E137:F137"/>
    <mergeCell ref="A149:I149"/>
    <mergeCell ref="A150:I150"/>
    <mergeCell ref="A152:I152"/>
    <mergeCell ref="B155:C155"/>
    <mergeCell ref="A158:B158"/>
    <mergeCell ref="F158:G158"/>
    <mergeCell ref="A159:B159"/>
    <mergeCell ref="F159:G159"/>
    <mergeCell ref="A160:D160"/>
    <mergeCell ref="F160:I160"/>
    <mergeCell ref="A161:D161"/>
    <mergeCell ref="F161:I161"/>
    <mergeCell ref="E166:F166"/>
  </mergeCells>
  <pageMargins left="0.70866141732283472" right="0.70866141732283472" top="0" bottom="0" header="0" footer="0"/>
  <pageSetup paperSize="9" scale="89" fitToHeight="0" orientation="portrait" r:id="rId1"/>
  <rowBreaks count="2" manualBreakCount="2">
    <brk id="58" max="16383" man="1"/>
    <brk id="117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4:I343"/>
  <sheetViews>
    <sheetView zoomScaleNormal="100" workbookViewId="0"/>
  </sheetViews>
  <sheetFormatPr defaultRowHeight="15" x14ac:dyDescent="0.25"/>
  <cols>
    <col min="1" max="9" width="10.7109375" customWidth="1"/>
    <col min="10" max="10" width="9.140625" customWidth="1"/>
  </cols>
  <sheetData>
    <row r="4" spans="1:9" s="5" customFormat="1" ht="18" x14ac:dyDescent="0.25">
      <c r="A4" s="89" t="s">
        <v>43</v>
      </c>
      <c r="B4" s="89"/>
      <c r="C4" s="89"/>
      <c r="D4" s="89"/>
      <c r="E4" s="89"/>
      <c r="F4" s="89"/>
      <c r="G4" s="89"/>
      <c r="H4" s="89"/>
      <c r="I4" s="89"/>
    </row>
    <row r="5" spans="1:9" s="5" customFormat="1" ht="25.5" x14ac:dyDescent="0.35">
      <c r="A5" s="92" t="s">
        <v>21</v>
      </c>
      <c r="B5" s="92"/>
      <c r="C5" s="92"/>
      <c r="D5" s="92"/>
      <c r="E5" s="92"/>
      <c r="F5" s="92"/>
      <c r="G5" s="92"/>
      <c r="H5" s="92"/>
      <c r="I5" s="92"/>
    </row>
    <row r="6" spans="1:9" s="5" customFormat="1" ht="19.5" x14ac:dyDescent="0.25">
      <c r="A6" s="93" t="s">
        <v>22</v>
      </c>
      <c r="B6" s="93"/>
      <c r="C6" s="93"/>
      <c r="D6" s="93"/>
      <c r="E6" s="93"/>
      <c r="F6" s="93"/>
      <c r="G6" s="93"/>
      <c r="H6" s="93"/>
      <c r="I6" s="93"/>
    </row>
    <row r="7" spans="1:9" s="5" customFormat="1" x14ac:dyDescent="0.25">
      <c r="A7" s="94" t="s">
        <v>23</v>
      </c>
      <c r="B7" s="94"/>
      <c r="C7" s="94"/>
      <c r="D7" s="94"/>
      <c r="E7" s="94"/>
      <c r="F7" s="94"/>
      <c r="G7" s="94"/>
      <c r="H7" s="94"/>
      <c r="I7" s="94"/>
    </row>
    <row r="8" spans="1:9" s="5" customFormat="1" x14ac:dyDescent="0.25">
      <c r="A8" s="6"/>
    </row>
    <row r="9" spans="1:9" s="5" customFormat="1" x14ac:dyDescent="0.25">
      <c r="A9" s="6"/>
    </row>
    <row r="10" spans="1:9" s="5" customFormat="1" ht="18.75" x14ac:dyDescent="0.3">
      <c r="A10" s="9" t="s">
        <v>25</v>
      </c>
      <c r="B10" s="90" t="s">
        <v>8</v>
      </c>
      <c r="C10" s="90"/>
      <c r="D10" s="9" t="s">
        <v>26</v>
      </c>
      <c r="F10" s="13" t="str">
        <f>$B$11&amp;1</f>
        <v>Mx1</v>
      </c>
      <c r="G10" s="9"/>
      <c r="H10" s="17"/>
    </row>
    <row r="11" spans="1:9" s="5" customFormat="1" x14ac:dyDescent="0.25">
      <c r="A11" s="7"/>
      <c r="B11" s="41" t="s">
        <v>56</v>
      </c>
    </row>
    <row r="12" spans="1:9" s="5" customFormat="1" x14ac:dyDescent="0.25">
      <c r="A12" s="10"/>
    </row>
    <row r="13" spans="1:9" s="11" customFormat="1" x14ac:dyDescent="0.25">
      <c r="A13" s="91" t="s">
        <v>27</v>
      </c>
      <c r="B13" s="91"/>
      <c r="C13" s="15">
        <f>VLOOKUP(RIGHT($F10)*1,Matches!$A:$J,3,FALSE)</f>
        <v>1</v>
      </c>
      <c r="D13" s="14"/>
      <c r="F13" s="91" t="s">
        <v>27</v>
      </c>
      <c r="G13" s="91"/>
      <c r="H13" s="15">
        <f>VLOOKUP(RIGHT($F10)*1,Matches!$A:$J,4,FALSE)</f>
        <v>2</v>
      </c>
      <c r="I13" s="14"/>
    </row>
    <row r="14" spans="1:9" s="11" customFormat="1" x14ac:dyDescent="0.25">
      <c r="A14" s="91" t="s">
        <v>28</v>
      </c>
      <c r="B14" s="91"/>
      <c r="C14" s="15">
        <f>VLOOKUP(RIGHT($F10)*1,Matches!$A:$J,5,FALSE)</f>
        <v>-15</v>
      </c>
      <c r="D14" s="14"/>
      <c r="E14" s="12" t="s">
        <v>24</v>
      </c>
      <c r="F14" s="91" t="s">
        <v>28</v>
      </c>
      <c r="G14" s="91"/>
      <c r="H14" s="15">
        <f>VLOOKUP(RIGHT($F10)*1,Matches!$A:$J,6,FALSE)</f>
        <v>4</v>
      </c>
      <c r="I14" s="14"/>
    </row>
    <row r="15" spans="1:9" s="5" customFormat="1" x14ac:dyDescent="0.25">
      <c r="A15" s="96" t="str">
        <f>VLOOKUP(C13&amp;$B$11&amp;"A",Players!$C:$H,2,FALSE)&amp;" ("&amp;VLOOKUP(C13&amp;$B$11&amp;"A",Players!$C:$H,3,FALSE)&amp;")"</f>
        <v>James Kee (Manchester Edgeley)</v>
      </c>
      <c r="B15" s="96"/>
      <c r="C15" s="96"/>
      <c r="D15" s="96"/>
      <c r="F15" s="96" t="str">
        <f>VLOOKUP(H13&amp;$B$11&amp;"A",Players!$C:$H,2,FALSE)&amp;" ("&amp;VLOOKUP(H13&amp;$B$11&amp;"A",Players!$C:$H,3,FALSE)&amp;")"</f>
        <v>Duncan Hurlstone (Forest)</v>
      </c>
      <c r="G15" s="96"/>
      <c r="H15" s="96"/>
      <c r="I15" s="96"/>
    </row>
    <row r="16" spans="1:9" s="5" customFormat="1" x14ac:dyDescent="0.25">
      <c r="A16" s="96" t="str">
        <f>VLOOKUP(C13&amp;$B$11&amp;"A",Players!$C:$H,4,FALSE)&amp;" ("&amp;VLOOKUP(C13&amp;$B$11&amp;"A",Players!$C:$H,5,FALSE)&amp;")"</f>
        <v>Julie Leeming (Manchester Edgeley)</v>
      </c>
      <c r="B16" s="96"/>
      <c r="C16" s="96"/>
      <c r="D16" s="96"/>
      <c r="F16" s="96" t="str">
        <f>VLOOKUP(H13&amp;$B$11&amp;"A",Players!$C:$H,4,FALSE)&amp;" ("&amp;VLOOKUP(H13&amp;$B$11&amp;"A",Players!$C:$H,5,FALSE)&amp;")"</f>
        <v>Emily Stapley (Forest)</v>
      </c>
      <c r="G16" s="96"/>
      <c r="H16" s="96"/>
      <c r="I16" s="96"/>
    </row>
    <row r="17" spans="1:9" s="5" customFormat="1" x14ac:dyDescent="0.25">
      <c r="A17" s="16"/>
      <c r="B17" s="16"/>
      <c r="C17" s="16"/>
      <c r="D17" s="16"/>
      <c r="F17" s="16"/>
      <c r="G17" s="16"/>
      <c r="H17" s="16"/>
      <c r="I17" s="16"/>
    </row>
    <row r="18" spans="1:9" s="5" customFormat="1" ht="18.75" x14ac:dyDescent="0.3">
      <c r="A18" s="16"/>
      <c r="B18" s="16"/>
      <c r="C18" s="16"/>
      <c r="D18" s="16"/>
      <c r="E18" s="13" t="s">
        <v>44</v>
      </c>
      <c r="F18" s="16"/>
      <c r="G18" s="16"/>
      <c r="H18" s="16"/>
      <c r="I18" s="16"/>
    </row>
    <row r="19" spans="1:9" s="5" customFormat="1" ht="15.75" x14ac:dyDescent="0.25">
      <c r="A19" s="8"/>
      <c r="D19" s="15">
        <f>VLOOKUP(RIGHT($F10)*1,Matches!$A:$J,7,FALSE)</f>
        <v>-15</v>
      </c>
      <c r="F19" s="15">
        <f>VLOOKUP(RIGHT($F10)*1,Matches!$A:$J,8,FALSE)</f>
        <v>4</v>
      </c>
    </row>
    <row r="20" spans="1:9" s="5" customFormat="1" ht="15.75" x14ac:dyDescent="0.25">
      <c r="A20" s="8"/>
    </row>
    <row r="21" spans="1:9" s="5" customFormat="1" ht="18.75" x14ac:dyDescent="0.3">
      <c r="E21" s="95" t="s">
        <v>29</v>
      </c>
      <c r="F21" s="95"/>
    </row>
    <row r="22" spans="1:9" s="5" customFormat="1" x14ac:dyDescent="0.25">
      <c r="A22" s="9"/>
      <c r="C22" s="11" t="s">
        <v>30</v>
      </c>
      <c r="E22" s="48">
        <v>21</v>
      </c>
      <c r="F22" s="48">
        <v>16</v>
      </c>
    </row>
    <row r="23" spans="1:9" s="5" customFormat="1" x14ac:dyDescent="0.25">
      <c r="C23" s="11" t="s">
        <v>31</v>
      </c>
      <c r="E23" s="48">
        <v>21</v>
      </c>
      <c r="F23" s="48">
        <v>19</v>
      </c>
    </row>
    <row r="24" spans="1:9" s="5" customFormat="1" x14ac:dyDescent="0.25">
      <c r="A24" s="9"/>
      <c r="C24" s="21" t="s">
        <v>32</v>
      </c>
      <c r="E24" s="20">
        <f>IF(OR(E22="",E23=""),"",SUM(IF(MOD(E22,21),0,1),IF(MOD(E23,21),0,1)))</f>
        <v>2</v>
      </c>
      <c r="F24" s="20">
        <f>IF(OR(F22="",F23=""),"",SUM(IF(MOD(F22,21),0,1),IF(MOD(F23,21),0,1)))</f>
        <v>0</v>
      </c>
      <c r="G24" s="11"/>
    </row>
    <row r="25" spans="1:9" s="5" customFormat="1" x14ac:dyDescent="0.25">
      <c r="A25" s="9"/>
      <c r="E25" s="17"/>
      <c r="F25" s="17"/>
      <c r="G25" s="11"/>
    </row>
    <row r="26" spans="1:9" s="5" customFormat="1" x14ac:dyDescent="0.25">
      <c r="A26" s="9"/>
      <c r="E26" s="17"/>
      <c r="F26" s="17"/>
      <c r="G26" s="11"/>
    </row>
    <row r="27" spans="1:9" s="5" customFormat="1" x14ac:dyDescent="0.25">
      <c r="A27" s="9"/>
      <c r="E27" s="17"/>
      <c r="F27" s="17"/>
      <c r="G27" s="11"/>
    </row>
    <row r="28" spans="1:9" s="5" customFormat="1" x14ac:dyDescent="0.25">
      <c r="A28" s="9"/>
      <c r="E28" s="17"/>
      <c r="F28" s="17"/>
      <c r="G28" s="11"/>
    </row>
    <row r="29" spans="1:9" s="5" customFormat="1" x14ac:dyDescent="0.25">
      <c r="A29" s="9"/>
      <c r="E29" s="17"/>
      <c r="F29" s="17"/>
      <c r="G29" s="11"/>
    </row>
    <row r="30" spans="1:9" s="5" customFormat="1" x14ac:dyDescent="0.25">
      <c r="A30" s="9"/>
      <c r="E30" s="17"/>
      <c r="F30" s="17"/>
      <c r="G30" s="11"/>
    </row>
    <row r="31" spans="1:9" s="5" customFormat="1" x14ac:dyDescent="0.25">
      <c r="A31" s="9"/>
      <c r="E31" s="17"/>
      <c r="F31" s="17"/>
      <c r="G31" s="11"/>
    </row>
    <row r="32" spans="1:9" s="5" customFormat="1" ht="7.5" customHeight="1" x14ac:dyDescent="0.25">
      <c r="A32" s="9"/>
    </row>
    <row r="33" spans="1:9" s="5" customFormat="1" ht="18" x14ac:dyDescent="0.25">
      <c r="A33" s="89" t="s">
        <v>43</v>
      </c>
      <c r="B33" s="89"/>
      <c r="C33" s="89"/>
      <c r="D33" s="89"/>
      <c r="E33" s="89"/>
      <c r="F33" s="89"/>
      <c r="G33" s="89"/>
      <c r="H33" s="89"/>
      <c r="I33" s="89"/>
    </row>
    <row r="34" spans="1:9" s="5" customFormat="1" ht="25.5" x14ac:dyDescent="0.35">
      <c r="A34" s="92" t="s">
        <v>21</v>
      </c>
      <c r="B34" s="92"/>
      <c r="C34" s="92"/>
      <c r="D34" s="92"/>
      <c r="E34" s="92"/>
      <c r="F34" s="92"/>
      <c r="G34" s="92"/>
      <c r="H34" s="92"/>
      <c r="I34" s="92"/>
    </row>
    <row r="35" spans="1:9" s="5" customFormat="1" ht="19.5" x14ac:dyDescent="0.25">
      <c r="A35" s="93" t="s">
        <v>22</v>
      </c>
      <c r="B35" s="93"/>
      <c r="C35" s="93"/>
      <c r="D35" s="93"/>
      <c r="E35" s="93"/>
      <c r="F35" s="93"/>
      <c r="G35" s="93"/>
      <c r="H35" s="93"/>
      <c r="I35" s="93"/>
    </row>
    <row r="36" spans="1:9" s="5" customFormat="1" x14ac:dyDescent="0.25">
      <c r="A36" s="94" t="s">
        <v>23</v>
      </c>
      <c r="B36" s="94"/>
      <c r="C36" s="94"/>
      <c r="D36" s="94"/>
      <c r="E36" s="94"/>
      <c r="F36" s="94"/>
      <c r="G36" s="94"/>
      <c r="H36" s="94"/>
      <c r="I36" s="94"/>
    </row>
    <row r="37" spans="1:9" s="5" customFormat="1" x14ac:dyDescent="0.25">
      <c r="A37" s="6"/>
    </row>
    <row r="38" spans="1:9" s="5" customFormat="1" x14ac:dyDescent="0.25">
      <c r="A38" s="6"/>
    </row>
    <row r="39" spans="1:9" s="5" customFormat="1" ht="18.75" x14ac:dyDescent="0.3">
      <c r="A39" s="9" t="s">
        <v>25</v>
      </c>
      <c r="B39" s="90" t="s">
        <v>8</v>
      </c>
      <c r="C39" s="90"/>
      <c r="D39" s="9" t="s">
        <v>26</v>
      </c>
      <c r="F39" s="13" t="str">
        <f>$B$11&amp;2</f>
        <v>Mx2</v>
      </c>
      <c r="G39" s="22"/>
      <c r="H39" s="17"/>
    </row>
    <row r="40" spans="1:9" s="5" customFormat="1" x14ac:dyDescent="0.25">
      <c r="A40" s="7"/>
    </row>
    <row r="41" spans="1:9" s="5" customFormat="1" x14ac:dyDescent="0.25">
      <c r="A41" s="10"/>
    </row>
    <row r="42" spans="1:9" s="11" customFormat="1" x14ac:dyDescent="0.25">
      <c r="A42" s="91" t="s">
        <v>27</v>
      </c>
      <c r="B42" s="91"/>
      <c r="C42" s="15">
        <f>VLOOKUP(RIGHT($F39)*1,Matches!$A:$J,3,FALSE)</f>
        <v>3</v>
      </c>
      <c r="D42" s="14"/>
      <c r="F42" s="91" t="s">
        <v>27</v>
      </c>
      <c r="G42" s="91"/>
      <c r="H42" s="15">
        <f>VLOOKUP(RIGHT($F39)*1,Matches!$A:$J,4,FALSE)</f>
        <v>4</v>
      </c>
      <c r="I42" s="14"/>
    </row>
    <row r="43" spans="1:9" s="11" customFormat="1" x14ac:dyDescent="0.25">
      <c r="A43" s="91" t="s">
        <v>28</v>
      </c>
      <c r="B43" s="91"/>
      <c r="C43" s="15">
        <f>VLOOKUP(RIGHT($F39)*1,Matches!$A:$J,5,FALSE)</f>
        <v>8</v>
      </c>
      <c r="D43" s="14"/>
      <c r="E43" s="12" t="s">
        <v>24</v>
      </c>
      <c r="F43" s="91" t="s">
        <v>28</v>
      </c>
      <c r="G43" s="91"/>
      <c r="H43" s="15">
        <f>VLOOKUP(RIGHT($F39)*1,Matches!$A:$J,6,FALSE)</f>
        <v>12</v>
      </c>
      <c r="I43" s="14"/>
    </row>
    <row r="44" spans="1:9" s="5" customFormat="1" x14ac:dyDescent="0.25">
      <c r="A44" s="96" t="str">
        <f>VLOOKUP(C42&amp;$B$11&amp;"A",Players!$C:$H,2,FALSE)&amp;" ("&amp;VLOOKUP(C42&amp;$B$11&amp;"A",Players!$C:$H,3,FALSE)&amp;")"</f>
        <v>Pasha Riley (Yeti)</v>
      </c>
      <c r="B44" s="96"/>
      <c r="C44" s="96"/>
      <c r="D44" s="96"/>
      <c r="F44" s="96" t="str">
        <f>VLOOKUP(H42&amp;$B$11&amp;"A",Players!$C:$H,2,FALSE)&amp;" ("&amp;VLOOKUP(H42&amp;$B$11&amp;"A",Players!$C:$H,3,FALSE)&amp;")"</f>
        <v>Rob Kirkpatrick (Silver Feather)</v>
      </c>
      <c r="G44" s="96"/>
      <c r="H44" s="96"/>
      <c r="I44" s="96"/>
    </row>
    <row r="45" spans="1:9" s="5" customFormat="1" x14ac:dyDescent="0.25">
      <c r="A45" s="96" t="str">
        <f>VLOOKUP(C42&amp;$B$11&amp;"A",Players!$C:$H,4,FALSE)&amp;" ("&amp;VLOOKUP(C42&amp;$B$11&amp;"A",Players!$C:$H,5,FALSE)&amp;")"</f>
        <v>Avril Sloane (Yeti)</v>
      </c>
      <c r="B45" s="96"/>
      <c r="C45" s="96"/>
      <c r="D45" s="96"/>
      <c r="F45" s="96" t="str">
        <f>VLOOKUP(H42&amp;$B$11&amp;"A",Players!$C:$H,4,FALSE)&amp;" ("&amp;VLOOKUP(H42&amp;$B$11&amp;"A",Players!$C:$H,5,FALSE)&amp;")"</f>
        <v>Sally Dowgill (Silver Feather)</v>
      </c>
      <c r="G45" s="96"/>
      <c r="H45" s="96"/>
      <c r="I45" s="96"/>
    </row>
    <row r="46" spans="1:9" s="5" customFormat="1" x14ac:dyDescent="0.25">
      <c r="A46" s="16"/>
      <c r="B46" s="16"/>
      <c r="C46" s="16"/>
      <c r="D46" s="16"/>
      <c r="F46" s="16"/>
      <c r="G46" s="16"/>
      <c r="H46" s="16"/>
      <c r="I46" s="16"/>
    </row>
    <row r="47" spans="1:9" s="5" customFormat="1" ht="18.75" x14ac:dyDescent="0.3">
      <c r="A47" s="16"/>
      <c r="B47" s="16"/>
      <c r="C47" s="16"/>
      <c r="D47" s="16"/>
      <c r="E47" s="13" t="s">
        <v>44</v>
      </c>
      <c r="F47" s="16"/>
      <c r="G47" s="16"/>
      <c r="H47" s="16"/>
      <c r="I47" s="16"/>
    </row>
    <row r="48" spans="1:9" s="5" customFormat="1" ht="15.75" x14ac:dyDescent="0.25">
      <c r="A48" s="8"/>
      <c r="D48" s="15">
        <f>VLOOKUP(RIGHT($F39)*1,Matches!$A:$J,7,FALSE)</f>
        <v>0</v>
      </c>
      <c r="F48" s="15">
        <f>VLOOKUP(RIGHT($F39)*1,Matches!$A:$J,8,FALSE)</f>
        <v>5</v>
      </c>
    </row>
    <row r="49" spans="1:9" s="5" customFormat="1" ht="15.75" x14ac:dyDescent="0.25">
      <c r="A49" s="8"/>
    </row>
    <row r="50" spans="1:9" s="5" customFormat="1" ht="18.75" x14ac:dyDescent="0.3">
      <c r="E50" s="95" t="s">
        <v>29</v>
      </c>
      <c r="F50" s="95"/>
    </row>
    <row r="51" spans="1:9" s="5" customFormat="1" x14ac:dyDescent="0.25">
      <c r="A51" s="9"/>
      <c r="C51" s="11" t="s">
        <v>30</v>
      </c>
      <c r="E51" s="48">
        <v>15</v>
      </c>
      <c r="F51" s="48">
        <v>21</v>
      </c>
    </row>
    <row r="52" spans="1:9" s="5" customFormat="1" x14ac:dyDescent="0.25">
      <c r="C52" s="11" t="s">
        <v>31</v>
      </c>
      <c r="E52" s="48">
        <v>13</v>
      </c>
      <c r="F52" s="48">
        <v>21</v>
      </c>
    </row>
    <row r="53" spans="1:9" s="5" customFormat="1" x14ac:dyDescent="0.25">
      <c r="A53" s="9"/>
      <c r="C53" s="21" t="s">
        <v>32</v>
      </c>
      <c r="E53" s="20">
        <f>IF(OR(E51="",E52=""),"",SUM(IF(MOD(E51,21),0,1),IF(MOD(E52,21),0,1)))</f>
        <v>0</v>
      </c>
      <c r="F53" s="20">
        <f>IF(OR(F51="",F52=""),"",SUM(IF(MOD(F51,21),0,1),IF(MOD(F52,21),0,1)))</f>
        <v>2</v>
      </c>
    </row>
    <row r="54" spans="1:9" s="5" customFormat="1" x14ac:dyDescent="0.25">
      <c r="A54" s="9"/>
      <c r="C54" s="19"/>
      <c r="E54" s="16"/>
      <c r="F54" s="16"/>
    </row>
    <row r="55" spans="1:9" s="5" customFormat="1" x14ac:dyDescent="0.25">
      <c r="A55" s="9"/>
      <c r="C55" s="19"/>
      <c r="E55" s="16"/>
      <c r="F55" s="16"/>
    </row>
    <row r="56" spans="1:9" s="5" customFormat="1" x14ac:dyDescent="0.25">
      <c r="A56" s="9"/>
      <c r="C56" s="19"/>
      <c r="E56" s="16"/>
      <c r="F56" s="16"/>
    </row>
    <row r="57" spans="1:9" s="5" customFormat="1" x14ac:dyDescent="0.25">
      <c r="A57" s="9"/>
      <c r="C57" s="19"/>
      <c r="E57" s="16"/>
      <c r="F57" s="16"/>
    </row>
    <row r="58" spans="1:9" s="5" customFormat="1" x14ac:dyDescent="0.25">
      <c r="A58" s="9"/>
      <c r="E58" s="17"/>
      <c r="F58" s="17"/>
      <c r="G58" s="11"/>
    </row>
    <row r="59" spans="1:9" s="5" customFormat="1" x14ac:dyDescent="0.25">
      <c r="A59" s="9"/>
      <c r="E59" s="17"/>
      <c r="F59" s="17"/>
      <c r="G59" s="11"/>
    </row>
    <row r="60" spans="1:9" s="5" customFormat="1" x14ac:dyDescent="0.25">
      <c r="A60" s="9"/>
      <c r="E60" s="17"/>
      <c r="F60" s="17"/>
      <c r="G60" s="11"/>
    </row>
    <row r="61" spans="1:9" s="5" customFormat="1" x14ac:dyDescent="0.25">
      <c r="A61" s="9"/>
      <c r="C61" s="19"/>
      <c r="E61" s="16"/>
      <c r="F61" s="16"/>
    </row>
    <row r="62" spans="1:9" s="5" customFormat="1" ht="18" x14ac:dyDescent="0.25">
      <c r="A62" s="89" t="s">
        <v>43</v>
      </c>
      <c r="B62" s="89"/>
      <c r="C62" s="89"/>
      <c r="D62" s="89"/>
      <c r="E62" s="89"/>
      <c r="F62" s="89"/>
      <c r="G62" s="89"/>
      <c r="H62" s="89"/>
      <c r="I62" s="89"/>
    </row>
    <row r="63" spans="1:9" s="5" customFormat="1" ht="25.5" x14ac:dyDescent="0.35">
      <c r="A63" s="92" t="s">
        <v>21</v>
      </c>
      <c r="B63" s="92"/>
      <c r="C63" s="92"/>
      <c r="D63" s="92"/>
      <c r="E63" s="92"/>
      <c r="F63" s="92"/>
      <c r="G63" s="92"/>
      <c r="H63" s="92"/>
      <c r="I63" s="92"/>
    </row>
    <row r="64" spans="1:9" s="5" customFormat="1" ht="19.5" x14ac:dyDescent="0.25">
      <c r="A64" s="93" t="s">
        <v>22</v>
      </c>
      <c r="B64" s="93"/>
      <c r="C64" s="93"/>
      <c r="D64" s="93"/>
      <c r="E64" s="93"/>
      <c r="F64" s="93"/>
      <c r="G64" s="93"/>
      <c r="H64" s="93"/>
      <c r="I64" s="93"/>
    </row>
    <row r="65" spans="1:9" s="5" customFormat="1" x14ac:dyDescent="0.25">
      <c r="A65" s="94" t="s">
        <v>23</v>
      </c>
      <c r="B65" s="94"/>
      <c r="C65" s="94"/>
      <c r="D65" s="94"/>
      <c r="E65" s="94"/>
      <c r="F65" s="94"/>
      <c r="G65" s="94"/>
      <c r="H65" s="94"/>
      <c r="I65" s="94"/>
    </row>
    <row r="66" spans="1:9" s="5" customFormat="1" x14ac:dyDescent="0.25">
      <c r="A66" s="6"/>
    </row>
    <row r="67" spans="1:9" s="5" customFormat="1" x14ac:dyDescent="0.25">
      <c r="A67" s="6"/>
    </row>
    <row r="68" spans="1:9" s="5" customFormat="1" ht="18.75" x14ac:dyDescent="0.3">
      <c r="A68" s="9" t="s">
        <v>25</v>
      </c>
      <c r="B68" s="90" t="s">
        <v>8</v>
      </c>
      <c r="C68" s="90"/>
      <c r="D68" s="9" t="s">
        <v>26</v>
      </c>
      <c r="F68" s="13" t="str">
        <f>$B$11&amp;3</f>
        <v>Mx3</v>
      </c>
      <c r="G68" s="22"/>
      <c r="H68" s="17"/>
    </row>
    <row r="69" spans="1:9" s="5" customFormat="1" x14ac:dyDescent="0.25">
      <c r="A69" s="7"/>
    </row>
    <row r="70" spans="1:9" s="5" customFormat="1" x14ac:dyDescent="0.25">
      <c r="A70" s="10"/>
    </row>
    <row r="71" spans="1:9" s="11" customFormat="1" x14ac:dyDescent="0.25">
      <c r="A71" s="91" t="s">
        <v>27</v>
      </c>
      <c r="B71" s="91"/>
      <c r="C71" s="15">
        <f>VLOOKUP(RIGHT($F68)*1,Matches!$A:$J,3,FALSE)</f>
        <v>2</v>
      </c>
      <c r="D71" s="14"/>
      <c r="F71" s="91" t="s">
        <v>27</v>
      </c>
      <c r="G71" s="91"/>
      <c r="H71" s="15">
        <f>VLOOKUP(RIGHT($F68)*1,Matches!$A:$J,4,FALSE)</f>
        <v>3</v>
      </c>
      <c r="I71" s="14"/>
    </row>
    <row r="72" spans="1:9" s="11" customFormat="1" x14ac:dyDescent="0.25">
      <c r="A72" s="91" t="s">
        <v>28</v>
      </c>
      <c r="B72" s="91"/>
      <c r="C72" s="15">
        <f>VLOOKUP(RIGHT($F68)*1,Matches!$A:$J,5,FALSE)</f>
        <v>4</v>
      </c>
      <c r="D72" s="14"/>
      <c r="E72" s="12" t="s">
        <v>24</v>
      </c>
      <c r="F72" s="91" t="s">
        <v>28</v>
      </c>
      <c r="G72" s="91"/>
      <c r="H72" s="15">
        <f>VLOOKUP(RIGHT($F68)*1,Matches!$A:$J,6,FALSE)</f>
        <v>8</v>
      </c>
      <c r="I72" s="14"/>
    </row>
    <row r="73" spans="1:9" s="5" customFormat="1" x14ac:dyDescent="0.25">
      <c r="A73" s="96" t="str">
        <f>VLOOKUP(C71&amp;$B$11&amp;"A",Players!$C:$H,2,FALSE)&amp;" ("&amp;VLOOKUP(C71&amp;$B$11&amp;"A",Players!$C:$H,3,FALSE)&amp;")"</f>
        <v>Duncan Hurlstone (Forest)</v>
      </c>
      <c r="B73" s="96"/>
      <c r="C73" s="96"/>
      <c r="D73" s="96"/>
      <c r="F73" s="96" t="str">
        <f>VLOOKUP(H71&amp;$B$11&amp;"A",Players!$C:$H,2,FALSE)&amp;" ("&amp;VLOOKUP(H71&amp;$B$11&amp;"A",Players!$C:$H,3,FALSE)&amp;")"</f>
        <v>Pasha Riley (Yeti)</v>
      </c>
      <c r="G73" s="96"/>
      <c r="H73" s="96"/>
      <c r="I73" s="96"/>
    </row>
    <row r="74" spans="1:9" s="5" customFormat="1" x14ac:dyDescent="0.25">
      <c r="A74" s="96" t="str">
        <f>VLOOKUP(C71&amp;$B$11&amp;"A",Players!$C:$H,4,FALSE)&amp;" ("&amp;VLOOKUP(C71&amp;$B$11&amp;"A",Players!$C:$H,5,FALSE)&amp;")"</f>
        <v>Emily Stapley (Forest)</v>
      </c>
      <c r="B74" s="96"/>
      <c r="C74" s="96"/>
      <c r="D74" s="96"/>
      <c r="F74" s="96" t="str">
        <f>VLOOKUP(H71&amp;$B$11&amp;"A",Players!$C:$H,4,FALSE)&amp;" ("&amp;VLOOKUP(H71&amp;$B$11&amp;"A",Players!$C:$H,5,FALSE)&amp;")"</f>
        <v>Avril Sloane (Yeti)</v>
      </c>
      <c r="G74" s="96"/>
      <c r="H74" s="96"/>
      <c r="I74" s="96"/>
    </row>
    <row r="75" spans="1:9" s="5" customFormat="1" x14ac:dyDescent="0.25">
      <c r="A75" s="16"/>
      <c r="B75" s="16"/>
      <c r="C75" s="16"/>
      <c r="D75" s="16"/>
      <c r="F75" s="16"/>
      <c r="G75" s="16"/>
      <c r="H75" s="16"/>
      <c r="I75" s="16"/>
    </row>
    <row r="76" spans="1:9" s="5" customFormat="1" ht="18.75" x14ac:dyDescent="0.3">
      <c r="A76" s="16"/>
      <c r="B76" s="16"/>
      <c r="C76" s="16"/>
      <c r="D76" s="16"/>
      <c r="E76" s="13" t="s">
        <v>44</v>
      </c>
      <c r="F76" s="16"/>
      <c r="G76" s="16"/>
      <c r="H76" s="16"/>
      <c r="I76" s="16"/>
    </row>
    <row r="77" spans="1:9" s="5" customFormat="1" ht="15.75" x14ac:dyDescent="0.25">
      <c r="A77" s="8"/>
      <c r="D77" s="15">
        <f>VLOOKUP(RIGHT($F68)*1,Matches!$A:$J,7,FALSE)</f>
        <v>0</v>
      </c>
      <c r="F77" s="15">
        <f>VLOOKUP(RIGHT($F68)*1,Matches!$A:$J,8,FALSE)</f>
        <v>5</v>
      </c>
    </row>
    <row r="78" spans="1:9" s="5" customFormat="1" ht="15.75" x14ac:dyDescent="0.25">
      <c r="A78" s="8"/>
    </row>
    <row r="79" spans="1:9" s="5" customFormat="1" ht="18.75" x14ac:dyDescent="0.3">
      <c r="E79" s="95" t="s">
        <v>29</v>
      </c>
      <c r="F79" s="95"/>
    </row>
    <row r="80" spans="1:9" s="5" customFormat="1" x14ac:dyDescent="0.25">
      <c r="A80" s="9"/>
      <c r="C80" s="11" t="s">
        <v>30</v>
      </c>
      <c r="E80" s="48">
        <v>20</v>
      </c>
      <c r="F80" s="48">
        <v>21</v>
      </c>
    </row>
    <row r="81" spans="1:9" s="5" customFormat="1" x14ac:dyDescent="0.25">
      <c r="C81" s="11" t="s">
        <v>31</v>
      </c>
      <c r="E81" s="48">
        <v>21</v>
      </c>
      <c r="F81" s="48">
        <v>17</v>
      </c>
    </row>
    <row r="82" spans="1:9" s="5" customFormat="1" ht="15.75" x14ac:dyDescent="0.25">
      <c r="A82" s="8"/>
      <c r="C82" s="21" t="s">
        <v>32</v>
      </c>
      <c r="E82" s="20">
        <f>IF(OR(E80="",E81=""),"",SUM(IF(MOD(E80,21),0,1),IF(MOD(E81,21),0,1)))</f>
        <v>1</v>
      </c>
      <c r="F82" s="20">
        <f>IF(OR(F80="",F81=""),"",SUM(IF(MOD(F80,21),0,1),IF(MOD(F81,21),0,1)))</f>
        <v>1</v>
      </c>
      <c r="G82" s="11"/>
    </row>
    <row r="83" spans="1:9" s="5" customFormat="1" ht="15.75" x14ac:dyDescent="0.25">
      <c r="A83" s="8"/>
      <c r="E83" s="17"/>
      <c r="F83" s="17"/>
      <c r="G83" s="11"/>
    </row>
    <row r="84" spans="1:9" s="5" customFormat="1" ht="15.75" x14ac:dyDescent="0.25">
      <c r="A84" s="8"/>
      <c r="E84" s="17"/>
      <c r="F84" s="17"/>
      <c r="G84" s="11"/>
    </row>
    <row r="85" spans="1:9" s="5" customFormat="1" ht="15.75" x14ac:dyDescent="0.25">
      <c r="A85" s="8"/>
      <c r="E85" s="17"/>
      <c r="F85" s="17"/>
      <c r="G85" s="11"/>
    </row>
    <row r="86" spans="1:9" s="5" customFormat="1" ht="15.75" x14ac:dyDescent="0.25">
      <c r="A86" s="8"/>
      <c r="E86" s="17"/>
      <c r="F86" s="17"/>
      <c r="G86" s="11"/>
    </row>
    <row r="87" spans="1:9" s="5" customFormat="1" ht="15.75" x14ac:dyDescent="0.25">
      <c r="A87" s="8"/>
      <c r="E87" s="17"/>
      <c r="F87" s="17"/>
      <c r="G87" s="11"/>
    </row>
    <row r="88" spans="1:9" s="5" customFormat="1" ht="15.75" x14ac:dyDescent="0.25">
      <c r="A88" s="8"/>
      <c r="E88" s="17"/>
      <c r="F88" s="17"/>
      <c r="G88" s="11"/>
    </row>
    <row r="89" spans="1:9" s="5" customFormat="1" ht="15.75" x14ac:dyDescent="0.25">
      <c r="A89" s="8"/>
      <c r="E89" s="17"/>
      <c r="F89" s="17"/>
      <c r="G89" s="11"/>
    </row>
    <row r="90" spans="1:9" s="5" customFormat="1" ht="7.5" customHeight="1" x14ac:dyDescent="0.25"/>
    <row r="91" spans="1:9" s="5" customFormat="1" ht="18" x14ac:dyDescent="0.25">
      <c r="A91" s="89" t="s">
        <v>43</v>
      </c>
      <c r="B91" s="89"/>
      <c r="C91" s="89"/>
      <c r="D91" s="89"/>
      <c r="E91" s="89"/>
      <c r="F91" s="89"/>
      <c r="G91" s="89"/>
      <c r="H91" s="89"/>
      <c r="I91" s="89"/>
    </row>
    <row r="92" spans="1:9" s="5" customFormat="1" ht="25.5" x14ac:dyDescent="0.35">
      <c r="A92" s="92" t="s">
        <v>21</v>
      </c>
      <c r="B92" s="92"/>
      <c r="C92" s="92"/>
      <c r="D92" s="92"/>
      <c r="E92" s="92"/>
      <c r="F92" s="92"/>
      <c r="G92" s="92"/>
      <c r="H92" s="92"/>
      <c r="I92" s="92"/>
    </row>
    <row r="93" spans="1:9" s="5" customFormat="1" ht="19.5" x14ac:dyDescent="0.25">
      <c r="A93" s="93" t="s">
        <v>22</v>
      </c>
      <c r="B93" s="93"/>
      <c r="C93" s="93"/>
      <c r="D93" s="93"/>
      <c r="E93" s="93"/>
      <c r="F93" s="93"/>
      <c r="G93" s="93"/>
      <c r="H93" s="93"/>
      <c r="I93" s="93"/>
    </row>
    <row r="94" spans="1:9" s="5" customFormat="1" x14ac:dyDescent="0.25">
      <c r="A94" s="94" t="s">
        <v>23</v>
      </c>
      <c r="B94" s="94"/>
      <c r="C94" s="94"/>
      <c r="D94" s="94"/>
      <c r="E94" s="94"/>
      <c r="F94" s="94"/>
      <c r="G94" s="94"/>
      <c r="H94" s="94"/>
      <c r="I94" s="94"/>
    </row>
    <row r="95" spans="1:9" s="5" customFormat="1" x14ac:dyDescent="0.25">
      <c r="A95" s="6"/>
    </row>
    <row r="96" spans="1:9" s="5" customFormat="1" x14ac:dyDescent="0.25">
      <c r="A96" s="6"/>
    </row>
    <row r="97" spans="1:9" s="5" customFormat="1" ht="18.75" x14ac:dyDescent="0.3">
      <c r="A97" s="9" t="s">
        <v>25</v>
      </c>
      <c r="B97" s="90" t="s">
        <v>8</v>
      </c>
      <c r="C97" s="90"/>
      <c r="D97" s="9" t="s">
        <v>26</v>
      </c>
      <c r="F97" s="13" t="str">
        <f>$B$11&amp;4</f>
        <v>Mx4</v>
      </c>
      <c r="G97" s="22"/>
      <c r="H97" s="17"/>
    </row>
    <row r="98" spans="1:9" s="5" customFormat="1" x14ac:dyDescent="0.25">
      <c r="A98" s="7"/>
    </row>
    <row r="99" spans="1:9" s="5" customFormat="1" x14ac:dyDescent="0.25">
      <c r="A99" s="10"/>
    </row>
    <row r="100" spans="1:9" s="11" customFormat="1" x14ac:dyDescent="0.25">
      <c r="A100" s="91" t="s">
        <v>27</v>
      </c>
      <c r="B100" s="91"/>
      <c r="C100" s="15">
        <f>VLOOKUP(RIGHT($F97)*1,Matches!$A:$J,3,FALSE)</f>
        <v>1</v>
      </c>
      <c r="D100" s="14"/>
      <c r="F100" s="91" t="s">
        <v>27</v>
      </c>
      <c r="G100" s="91"/>
      <c r="H100" s="15">
        <f>VLOOKUP(RIGHT($F97)*1,Matches!$A:$J,4,FALSE)</f>
        <v>4</v>
      </c>
      <c r="I100" s="14"/>
    </row>
    <row r="101" spans="1:9" s="11" customFormat="1" x14ac:dyDescent="0.25">
      <c r="A101" s="91" t="s">
        <v>28</v>
      </c>
      <c r="B101" s="91"/>
      <c r="C101" s="15">
        <f>VLOOKUP(RIGHT($F97)*1,Matches!$A:$J,5,FALSE)</f>
        <v>-15</v>
      </c>
      <c r="D101" s="14"/>
      <c r="E101" s="12" t="s">
        <v>24</v>
      </c>
      <c r="F101" s="91" t="s">
        <v>28</v>
      </c>
      <c r="G101" s="91"/>
      <c r="H101" s="15">
        <f>VLOOKUP(RIGHT($F97)*1,Matches!$A:$J,6,FALSE)</f>
        <v>12</v>
      </c>
      <c r="I101" s="14"/>
    </row>
    <row r="102" spans="1:9" s="5" customFormat="1" x14ac:dyDescent="0.25">
      <c r="A102" s="96" t="str">
        <f>VLOOKUP(C100&amp;$B$11&amp;"A",Players!$C:$H,2,FALSE)&amp;" ("&amp;VLOOKUP(C100&amp;$B$11&amp;"A",Players!$C:$H,3,FALSE)&amp;")"</f>
        <v>James Kee (Manchester Edgeley)</v>
      </c>
      <c r="B102" s="96"/>
      <c r="C102" s="96"/>
      <c r="D102" s="96"/>
      <c r="F102" s="96" t="str">
        <f>VLOOKUP(H100&amp;$B$11&amp;"A",Players!$C:$H,2,FALSE)&amp;" ("&amp;VLOOKUP(H100&amp;$B$11&amp;"A",Players!$C:$H,3,FALSE)&amp;")"</f>
        <v>Rob Kirkpatrick (Silver Feather)</v>
      </c>
      <c r="G102" s="96"/>
      <c r="H102" s="96"/>
      <c r="I102" s="96"/>
    </row>
    <row r="103" spans="1:9" s="5" customFormat="1" x14ac:dyDescent="0.25">
      <c r="A103" s="96" t="str">
        <f>VLOOKUP(C100&amp;$B$11&amp;"A",Players!$C:$H,4,FALSE)&amp;" ("&amp;VLOOKUP(C100&amp;$B$11&amp;"A",Players!$C:$H,5,FALSE)&amp;")"</f>
        <v>Julie Leeming (Manchester Edgeley)</v>
      </c>
      <c r="B103" s="96"/>
      <c r="C103" s="96"/>
      <c r="D103" s="96"/>
      <c r="F103" s="96" t="str">
        <f>VLOOKUP(H100&amp;$B$11&amp;"A",Players!$C:$H,4,FALSE)&amp;" ("&amp;VLOOKUP(H100&amp;$B$11&amp;"A",Players!$C:$H,5,FALSE)&amp;")"</f>
        <v>Sally Dowgill (Silver Feather)</v>
      </c>
      <c r="G103" s="96"/>
      <c r="H103" s="96"/>
      <c r="I103" s="96"/>
    </row>
    <row r="104" spans="1:9" s="5" customFormat="1" x14ac:dyDescent="0.25">
      <c r="A104" s="16"/>
      <c r="B104" s="16"/>
      <c r="C104" s="16"/>
      <c r="D104" s="16"/>
      <c r="F104" s="16"/>
      <c r="G104" s="16"/>
      <c r="H104" s="16"/>
      <c r="I104" s="16"/>
    </row>
    <row r="105" spans="1:9" s="5" customFormat="1" ht="18.75" x14ac:dyDescent="0.3">
      <c r="A105" s="16"/>
      <c r="B105" s="16"/>
      <c r="C105" s="16"/>
      <c r="D105" s="16"/>
      <c r="E105" s="13" t="s">
        <v>44</v>
      </c>
      <c r="F105" s="16"/>
      <c r="G105" s="16"/>
      <c r="H105" s="16"/>
      <c r="I105" s="16"/>
    </row>
    <row r="106" spans="1:9" s="5" customFormat="1" ht="15.75" x14ac:dyDescent="0.25">
      <c r="A106" s="8"/>
      <c r="D106" s="15">
        <f>VLOOKUP(RIGHT($F97)*1,Matches!$A:$J,7,FALSE)</f>
        <v>-15</v>
      </c>
      <c r="F106" s="15">
        <f>VLOOKUP(RIGHT($F97)*1,Matches!$A:$J,8,FALSE)</f>
        <v>12</v>
      </c>
    </row>
    <row r="107" spans="1:9" s="5" customFormat="1" ht="15.75" x14ac:dyDescent="0.25">
      <c r="A107" s="8"/>
    </row>
    <row r="108" spans="1:9" s="5" customFormat="1" ht="18.75" x14ac:dyDescent="0.3">
      <c r="E108" s="95" t="s">
        <v>29</v>
      </c>
      <c r="F108" s="95"/>
    </row>
    <row r="109" spans="1:9" s="5" customFormat="1" x14ac:dyDescent="0.25">
      <c r="A109" s="9"/>
      <c r="C109" s="11" t="s">
        <v>30</v>
      </c>
      <c r="E109" s="48">
        <v>13</v>
      </c>
      <c r="F109" s="48">
        <v>21</v>
      </c>
    </row>
    <row r="110" spans="1:9" s="5" customFormat="1" x14ac:dyDescent="0.25">
      <c r="C110" s="11" t="s">
        <v>31</v>
      </c>
      <c r="E110" s="48">
        <v>11</v>
      </c>
      <c r="F110" s="48">
        <v>21</v>
      </c>
    </row>
    <row r="111" spans="1:9" x14ac:dyDescent="0.25">
      <c r="A111" s="9"/>
      <c r="B111" s="5"/>
      <c r="C111" s="21" t="s">
        <v>32</v>
      </c>
      <c r="D111" s="5"/>
      <c r="E111" s="20">
        <f>IF(OR(E109="",E110=""),"",SUM(IF(MOD(E109,21),0,1),IF(MOD(E110,21),0,1)))</f>
        <v>0</v>
      </c>
      <c r="F111" s="20">
        <f>IF(OR(F109="",F110=""),"",SUM(IF(MOD(F109,21),0,1),IF(MOD(F110,21),0,1)))</f>
        <v>2</v>
      </c>
      <c r="G111" s="11"/>
      <c r="H111" s="5"/>
      <c r="I111" s="5"/>
    </row>
    <row r="112" spans="1:9" x14ac:dyDescent="0.25">
      <c r="A112" s="9"/>
      <c r="B112" s="5"/>
      <c r="C112" s="21"/>
      <c r="D112" s="5"/>
      <c r="E112" s="16"/>
      <c r="F112" s="16"/>
      <c r="G112" s="11"/>
      <c r="H112" s="5"/>
      <c r="I112" s="5"/>
    </row>
    <row r="113" spans="1:9" x14ac:dyDescent="0.25">
      <c r="A113" s="9"/>
      <c r="B113" s="5"/>
      <c r="C113" s="21"/>
      <c r="D113" s="5"/>
      <c r="E113" s="16"/>
      <c r="F113" s="16"/>
      <c r="G113" s="11"/>
      <c r="H113" s="5"/>
      <c r="I113" s="5"/>
    </row>
    <row r="114" spans="1:9" x14ac:dyDescent="0.25">
      <c r="A114" s="9"/>
      <c r="B114" s="5"/>
      <c r="C114" s="21"/>
      <c r="D114" s="5"/>
      <c r="E114" s="16"/>
      <c r="F114" s="16"/>
      <c r="G114" s="11"/>
      <c r="H114" s="5"/>
      <c r="I114" s="5"/>
    </row>
    <row r="115" spans="1:9" x14ac:dyDescent="0.25">
      <c r="A115" s="9"/>
      <c r="B115" s="5"/>
      <c r="C115" s="21"/>
      <c r="D115" s="5"/>
      <c r="E115" s="16"/>
      <c r="F115" s="16"/>
      <c r="G115" s="11"/>
      <c r="H115" s="5"/>
      <c r="I115" s="5"/>
    </row>
    <row r="116" spans="1:9" x14ac:dyDescent="0.25">
      <c r="A116" s="9"/>
      <c r="B116" s="5"/>
      <c r="C116" s="21"/>
      <c r="D116" s="5"/>
      <c r="E116" s="16"/>
      <c r="F116" s="16"/>
      <c r="G116" s="11"/>
      <c r="H116" s="5"/>
      <c r="I116" s="5"/>
    </row>
    <row r="117" spans="1:9" x14ac:dyDescent="0.25">
      <c r="A117" s="9"/>
      <c r="B117" s="5"/>
      <c r="C117" s="21"/>
      <c r="D117" s="5"/>
      <c r="E117" s="16"/>
      <c r="F117" s="16"/>
      <c r="G117" s="11"/>
      <c r="H117" s="5"/>
      <c r="I117" s="5"/>
    </row>
    <row r="118" spans="1:9" x14ac:dyDescent="0.25">
      <c r="A118" s="9"/>
      <c r="B118" s="5"/>
      <c r="C118" s="5"/>
      <c r="D118" s="5"/>
      <c r="E118" s="17"/>
      <c r="F118" s="17"/>
      <c r="G118" s="11"/>
      <c r="H118" s="5"/>
      <c r="I118" s="5"/>
    </row>
    <row r="119" spans="1:9" x14ac:dyDescent="0.25">
      <c r="A119" s="9"/>
      <c r="B119" s="5"/>
      <c r="C119" s="5"/>
      <c r="D119" s="5"/>
      <c r="E119" s="17"/>
      <c r="F119" s="17"/>
      <c r="G119" s="11"/>
      <c r="H119" s="5"/>
      <c r="I119" s="5"/>
    </row>
    <row r="120" spans="1:9" ht="18" x14ac:dyDescent="0.25">
      <c r="A120" s="89" t="s">
        <v>43</v>
      </c>
      <c r="B120" s="89"/>
      <c r="C120" s="89"/>
      <c r="D120" s="89"/>
      <c r="E120" s="89"/>
      <c r="F120" s="89"/>
      <c r="G120" s="89"/>
      <c r="H120" s="89"/>
      <c r="I120" s="89"/>
    </row>
    <row r="121" spans="1:9" ht="25.5" x14ac:dyDescent="0.35">
      <c r="A121" s="92" t="s">
        <v>21</v>
      </c>
      <c r="B121" s="92"/>
      <c r="C121" s="92"/>
      <c r="D121" s="92"/>
      <c r="E121" s="92"/>
      <c r="F121" s="92"/>
      <c r="G121" s="92"/>
      <c r="H121" s="92"/>
      <c r="I121" s="92"/>
    </row>
    <row r="122" spans="1:9" ht="19.5" x14ac:dyDescent="0.25">
      <c r="A122" s="93" t="s">
        <v>22</v>
      </c>
      <c r="B122" s="93"/>
      <c r="C122" s="93"/>
      <c r="D122" s="93"/>
      <c r="E122" s="93"/>
      <c r="F122" s="93"/>
      <c r="G122" s="93"/>
      <c r="H122" s="93"/>
      <c r="I122" s="93"/>
    </row>
    <row r="123" spans="1:9" x14ac:dyDescent="0.25">
      <c r="A123" s="94" t="s">
        <v>23</v>
      </c>
      <c r="B123" s="94"/>
      <c r="C123" s="94"/>
      <c r="D123" s="94"/>
      <c r="E123" s="94"/>
      <c r="F123" s="94"/>
      <c r="G123" s="94"/>
      <c r="H123" s="94"/>
      <c r="I123" s="94"/>
    </row>
    <row r="124" spans="1:9" x14ac:dyDescent="0.25">
      <c r="A124" s="6"/>
      <c r="B124" s="5"/>
      <c r="C124" s="5"/>
      <c r="D124" s="5"/>
      <c r="E124" s="5"/>
      <c r="F124" s="5"/>
      <c r="G124" s="5"/>
      <c r="H124" s="5"/>
      <c r="I124" s="5"/>
    </row>
    <row r="125" spans="1:9" x14ac:dyDescent="0.25">
      <c r="A125" s="6"/>
      <c r="B125" s="5"/>
      <c r="C125" s="5"/>
      <c r="D125" s="5"/>
      <c r="E125" s="5"/>
      <c r="F125" s="5"/>
      <c r="G125" s="5"/>
      <c r="H125" s="5"/>
      <c r="I125" s="5"/>
    </row>
    <row r="126" spans="1:9" s="5" customFormat="1" ht="18.75" x14ac:dyDescent="0.3">
      <c r="A126" s="9" t="s">
        <v>25</v>
      </c>
      <c r="B126" s="90" t="s">
        <v>8</v>
      </c>
      <c r="C126" s="90"/>
      <c r="D126" s="9" t="s">
        <v>26</v>
      </c>
      <c r="F126" s="13" t="str">
        <f>$B$11&amp;5</f>
        <v>Mx5</v>
      </c>
      <c r="G126" s="22"/>
      <c r="H126" s="17"/>
    </row>
    <row r="127" spans="1:9" s="5" customFormat="1" x14ac:dyDescent="0.25">
      <c r="A127" s="7"/>
    </row>
    <row r="128" spans="1:9" s="5" customFormat="1" x14ac:dyDescent="0.25">
      <c r="A128" s="10"/>
    </row>
    <row r="129" spans="1:9" s="11" customFormat="1" x14ac:dyDescent="0.25">
      <c r="A129" s="91" t="s">
        <v>27</v>
      </c>
      <c r="B129" s="91"/>
      <c r="C129" s="15">
        <f>VLOOKUP(RIGHT($F126)*1,Matches!$A:$J,3,FALSE)</f>
        <v>2</v>
      </c>
      <c r="D129" s="14"/>
      <c r="F129" s="91" t="s">
        <v>27</v>
      </c>
      <c r="G129" s="91"/>
      <c r="H129" s="15">
        <f>VLOOKUP(RIGHT($F126)*1,Matches!$A:$J,4,FALSE)</f>
        <v>4</v>
      </c>
      <c r="I129" s="14"/>
    </row>
    <row r="130" spans="1:9" s="11" customFormat="1" x14ac:dyDescent="0.25">
      <c r="A130" s="91" t="s">
        <v>28</v>
      </c>
      <c r="B130" s="91"/>
      <c r="C130" s="15">
        <f>VLOOKUP(RIGHT($F126)*1,Matches!$A:$J,5,FALSE)</f>
        <v>4</v>
      </c>
      <c r="D130" s="14"/>
      <c r="E130" s="12" t="s">
        <v>24</v>
      </c>
      <c r="F130" s="91" t="s">
        <v>28</v>
      </c>
      <c r="G130" s="91"/>
      <c r="H130" s="15">
        <f>VLOOKUP(RIGHT($F126)*1,Matches!$A:$J,6,FALSE)</f>
        <v>12</v>
      </c>
      <c r="I130" s="14"/>
    </row>
    <row r="131" spans="1:9" s="5" customFormat="1" x14ac:dyDescent="0.25">
      <c r="A131" s="96" t="str">
        <f>VLOOKUP(C129&amp;$B$11&amp;"A",Players!$C:$H,2,FALSE)&amp;" ("&amp;VLOOKUP(C129&amp;$B$11&amp;"A",Players!$C:$H,3,FALSE)&amp;")"</f>
        <v>Duncan Hurlstone (Forest)</v>
      </c>
      <c r="B131" s="96"/>
      <c r="C131" s="96"/>
      <c r="D131" s="96"/>
      <c r="F131" s="96" t="str">
        <f>VLOOKUP(H129&amp;$B$11&amp;"A",Players!$C:$H,2,FALSE)&amp;" ("&amp;VLOOKUP(H129&amp;$B$11&amp;"A",Players!$C:$H,3,FALSE)&amp;")"</f>
        <v>Rob Kirkpatrick (Silver Feather)</v>
      </c>
      <c r="G131" s="96"/>
      <c r="H131" s="96"/>
      <c r="I131" s="96"/>
    </row>
    <row r="132" spans="1:9" s="5" customFormat="1" x14ac:dyDescent="0.25">
      <c r="A132" s="96" t="str">
        <f>VLOOKUP(C129&amp;$B$11&amp;"A",Players!$C:$H,4,FALSE)&amp;" ("&amp;VLOOKUP(C129&amp;$B$11&amp;"A",Players!$C:$H,5,FALSE)&amp;")"</f>
        <v>Emily Stapley (Forest)</v>
      </c>
      <c r="B132" s="96"/>
      <c r="C132" s="96"/>
      <c r="D132" s="96"/>
      <c r="F132" s="96" t="str">
        <f>VLOOKUP(H129&amp;$B$11&amp;"A",Players!$C:$H,4,FALSE)&amp;" ("&amp;VLOOKUP(H129&amp;$B$11&amp;"A",Players!$C:$H,5,FALSE)&amp;")"</f>
        <v>Sally Dowgill (Silver Feather)</v>
      </c>
      <c r="G132" s="96"/>
      <c r="H132" s="96"/>
      <c r="I132" s="96"/>
    </row>
    <row r="133" spans="1:9" s="5" customFormat="1" x14ac:dyDescent="0.25">
      <c r="A133" s="16"/>
      <c r="B133" s="16"/>
      <c r="C133" s="16"/>
      <c r="D133" s="16"/>
      <c r="F133" s="16"/>
      <c r="G133" s="16"/>
      <c r="H133" s="16"/>
      <c r="I133" s="16"/>
    </row>
    <row r="134" spans="1:9" s="5" customFormat="1" ht="18.75" x14ac:dyDescent="0.3">
      <c r="A134" s="16"/>
      <c r="B134" s="16"/>
      <c r="C134" s="16"/>
      <c r="D134" s="16"/>
      <c r="E134" s="13" t="s">
        <v>44</v>
      </c>
      <c r="F134" s="16"/>
      <c r="G134" s="16"/>
      <c r="H134" s="16"/>
      <c r="I134" s="16"/>
    </row>
    <row r="135" spans="1:9" s="5" customFormat="1" ht="15.75" x14ac:dyDescent="0.25">
      <c r="A135" s="8"/>
      <c r="D135" s="15">
        <f>VLOOKUP(RIGHT($F126)*1,Matches!$A:$J,7,FALSE)</f>
        <v>0</v>
      </c>
      <c r="F135" s="15">
        <f>VLOOKUP(RIGHT($F126)*1,Matches!$A:$J,8,FALSE)</f>
        <v>9</v>
      </c>
    </row>
    <row r="136" spans="1:9" ht="15.75" x14ac:dyDescent="0.25">
      <c r="A136" s="8"/>
      <c r="B136" s="5"/>
      <c r="C136" s="5"/>
      <c r="D136" s="5"/>
      <c r="F136" s="5"/>
      <c r="G136" s="5"/>
      <c r="H136" s="5"/>
      <c r="I136" s="5"/>
    </row>
    <row r="137" spans="1:9" ht="18.75" x14ac:dyDescent="0.3">
      <c r="A137" s="5"/>
      <c r="B137" s="5"/>
      <c r="C137" s="5"/>
      <c r="D137" s="5"/>
      <c r="E137" s="95" t="s">
        <v>29</v>
      </c>
      <c r="F137" s="95"/>
      <c r="G137" s="5"/>
      <c r="H137" s="5"/>
      <c r="I137" s="5"/>
    </row>
    <row r="138" spans="1:9" x14ac:dyDescent="0.25">
      <c r="A138" s="9"/>
      <c r="B138" s="5"/>
      <c r="C138" s="11" t="s">
        <v>30</v>
      </c>
      <c r="D138" s="5"/>
      <c r="E138" s="48">
        <v>21</v>
      </c>
      <c r="F138" s="48">
        <v>19</v>
      </c>
      <c r="G138" s="5"/>
      <c r="H138" s="5"/>
      <c r="I138" s="5"/>
    </row>
    <row r="139" spans="1:9" x14ac:dyDescent="0.25">
      <c r="A139" s="5"/>
      <c r="B139" s="5"/>
      <c r="C139" s="11" t="s">
        <v>31</v>
      </c>
      <c r="D139" s="5"/>
      <c r="E139" s="48">
        <v>15</v>
      </c>
      <c r="F139" s="48">
        <v>21</v>
      </c>
      <c r="G139" s="5"/>
      <c r="H139" s="5"/>
      <c r="I139" s="5"/>
    </row>
    <row r="140" spans="1:9" x14ac:dyDescent="0.25">
      <c r="C140" s="21" t="s">
        <v>32</v>
      </c>
      <c r="D140" s="5"/>
      <c r="E140" s="20">
        <f>IF(OR(E138="",E139=""),"",SUM(IF(MOD(E138,21),0,1),IF(MOD(E139,21),0,1)))</f>
        <v>1</v>
      </c>
      <c r="F140" s="20">
        <f>IF(OR(F138="",F139=""),"",SUM(IF(MOD(F138,21),0,1),IF(MOD(F139,21),0,1)))</f>
        <v>1</v>
      </c>
      <c r="G140" s="11"/>
    </row>
    <row r="141" spans="1:9" x14ac:dyDescent="0.25">
      <c r="C141" s="21"/>
      <c r="D141" s="5"/>
      <c r="E141" s="16"/>
      <c r="F141" s="16"/>
      <c r="G141" s="11"/>
    </row>
    <row r="142" spans="1:9" x14ac:dyDescent="0.25">
      <c r="C142" s="21"/>
      <c r="D142" s="5"/>
      <c r="E142" s="16"/>
      <c r="F142" s="16"/>
      <c r="G142" s="11"/>
    </row>
    <row r="143" spans="1:9" x14ac:dyDescent="0.25">
      <c r="C143" s="21"/>
      <c r="D143" s="5"/>
      <c r="E143" s="16"/>
      <c r="F143" s="16"/>
      <c r="G143" s="11"/>
    </row>
    <row r="144" spans="1:9" x14ac:dyDescent="0.25">
      <c r="E144" s="17"/>
      <c r="F144" s="17"/>
      <c r="G144" s="11"/>
    </row>
    <row r="145" spans="1:9" x14ac:dyDescent="0.25">
      <c r="E145" s="17"/>
      <c r="F145" s="17"/>
      <c r="G145" s="11"/>
    </row>
    <row r="146" spans="1:9" x14ac:dyDescent="0.25">
      <c r="E146" s="17"/>
      <c r="F146" s="17"/>
      <c r="G146" s="11"/>
    </row>
    <row r="147" spans="1:9" x14ac:dyDescent="0.25">
      <c r="E147" s="17"/>
      <c r="F147" s="17"/>
      <c r="G147" s="11"/>
    </row>
    <row r="148" spans="1:9" ht="7.5" customHeight="1" x14ac:dyDescent="0.25"/>
    <row r="149" spans="1:9" ht="18" x14ac:dyDescent="0.25">
      <c r="A149" s="89" t="s">
        <v>43</v>
      </c>
      <c r="B149" s="89"/>
      <c r="C149" s="89"/>
      <c r="D149" s="89"/>
      <c r="E149" s="89"/>
      <c r="F149" s="89"/>
      <c r="G149" s="89"/>
      <c r="H149" s="89"/>
      <c r="I149" s="89"/>
    </row>
    <row r="150" spans="1:9" ht="25.5" x14ac:dyDescent="0.35">
      <c r="A150" s="92" t="s">
        <v>21</v>
      </c>
      <c r="B150" s="92"/>
      <c r="C150" s="92"/>
      <c r="D150" s="92"/>
      <c r="E150" s="92"/>
      <c r="F150" s="92"/>
      <c r="G150" s="92"/>
      <c r="H150" s="92"/>
      <c r="I150" s="92"/>
    </row>
    <row r="151" spans="1:9" ht="19.5" x14ac:dyDescent="0.25">
      <c r="A151" s="93" t="s">
        <v>22</v>
      </c>
      <c r="B151" s="93"/>
      <c r="C151" s="93"/>
      <c r="D151" s="93"/>
      <c r="E151" s="93"/>
      <c r="F151" s="93"/>
      <c r="G151" s="93"/>
      <c r="H151" s="93"/>
      <c r="I151" s="93"/>
    </row>
    <row r="152" spans="1:9" x14ac:dyDescent="0.25">
      <c r="A152" s="94" t="s">
        <v>23</v>
      </c>
      <c r="B152" s="94"/>
      <c r="C152" s="94"/>
      <c r="D152" s="94"/>
      <c r="E152" s="94"/>
      <c r="F152" s="94"/>
      <c r="G152" s="94"/>
      <c r="H152" s="94"/>
      <c r="I152" s="94"/>
    </row>
    <row r="153" spans="1:9" x14ac:dyDescent="0.25">
      <c r="A153" s="6"/>
      <c r="B153" s="5"/>
      <c r="C153" s="5"/>
      <c r="D153" s="5"/>
      <c r="E153" s="5"/>
      <c r="F153" s="5"/>
      <c r="G153" s="5"/>
      <c r="H153" s="5"/>
      <c r="I153" s="5"/>
    </row>
    <row r="154" spans="1:9" x14ac:dyDescent="0.25">
      <c r="A154" s="6"/>
      <c r="B154" s="5"/>
      <c r="C154" s="5"/>
      <c r="D154" s="5"/>
      <c r="E154" s="5"/>
      <c r="F154" s="5"/>
      <c r="G154" s="5"/>
      <c r="H154" s="5"/>
      <c r="I154" s="5"/>
    </row>
    <row r="155" spans="1:9" s="5" customFormat="1" ht="18.75" x14ac:dyDescent="0.3">
      <c r="A155" s="9" t="s">
        <v>25</v>
      </c>
      <c r="B155" s="90" t="s">
        <v>8</v>
      </c>
      <c r="C155" s="90"/>
      <c r="D155" s="9" t="s">
        <v>26</v>
      </c>
      <c r="F155" s="13" t="str">
        <f>$B$11&amp;6</f>
        <v>Mx6</v>
      </c>
      <c r="G155" s="22"/>
      <c r="H155" s="17"/>
    </row>
    <row r="156" spans="1:9" s="5" customFormat="1" x14ac:dyDescent="0.25">
      <c r="A156" s="7"/>
    </row>
    <row r="157" spans="1:9" s="5" customFormat="1" x14ac:dyDescent="0.25">
      <c r="A157" s="10"/>
    </row>
    <row r="158" spans="1:9" s="11" customFormat="1" x14ac:dyDescent="0.25">
      <c r="A158" s="91" t="s">
        <v>27</v>
      </c>
      <c r="B158" s="91"/>
      <c r="C158" s="15">
        <f>VLOOKUP(RIGHT($F155)*1,Matches!$A:$J,3,FALSE)</f>
        <v>1</v>
      </c>
      <c r="D158" s="14"/>
      <c r="F158" s="91" t="s">
        <v>27</v>
      </c>
      <c r="G158" s="91"/>
      <c r="H158" s="15">
        <f>VLOOKUP(RIGHT($F155)*1,Matches!$A:$J,4,FALSE)</f>
        <v>3</v>
      </c>
      <c r="I158" s="14"/>
    </row>
    <row r="159" spans="1:9" s="11" customFormat="1" x14ac:dyDescent="0.25">
      <c r="A159" s="91" t="s">
        <v>28</v>
      </c>
      <c r="B159" s="91"/>
      <c r="C159" s="15">
        <f>VLOOKUP(RIGHT($F155)*1,Matches!$A:$J,5,FALSE)</f>
        <v>-15</v>
      </c>
      <c r="D159" s="14"/>
      <c r="E159" s="12" t="s">
        <v>24</v>
      </c>
      <c r="F159" s="91" t="s">
        <v>28</v>
      </c>
      <c r="G159" s="91"/>
      <c r="H159" s="15">
        <f>VLOOKUP(RIGHT($F155)*1,Matches!$A:$J,6,FALSE)</f>
        <v>8</v>
      </c>
      <c r="I159" s="14"/>
    </row>
    <row r="160" spans="1:9" s="5" customFormat="1" x14ac:dyDescent="0.25">
      <c r="A160" s="96" t="str">
        <f>VLOOKUP(C158&amp;$B$11&amp;"A",Players!$C:$H,2,FALSE)&amp;" ("&amp;VLOOKUP(C158&amp;$B$11&amp;"A",Players!$C:$H,3,FALSE)&amp;")"</f>
        <v>James Kee (Manchester Edgeley)</v>
      </c>
      <c r="B160" s="96"/>
      <c r="C160" s="96"/>
      <c r="D160" s="96"/>
      <c r="F160" s="96" t="str">
        <f>VLOOKUP(H158&amp;$B$11&amp;"A",Players!$C:$H,2,FALSE)&amp;" ("&amp;VLOOKUP(H158&amp;$B$11&amp;"A",Players!$C:$H,3,FALSE)&amp;")"</f>
        <v>Pasha Riley (Yeti)</v>
      </c>
      <c r="G160" s="96"/>
      <c r="H160" s="96"/>
      <c r="I160" s="96"/>
    </row>
    <row r="161" spans="1:9" s="5" customFormat="1" x14ac:dyDescent="0.25">
      <c r="A161" s="96" t="str">
        <f>VLOOKUP(C158&amp;$B$11&amp;"A",Players!$C:$H,4,FALSE)&amp;" ("&amp;VLOOKUP(C158&amp;$B$11&amp;"A",Players!$C:$H,5,FALSE)&amp;")"</f>
        <v>Julie Leeming (Manchester Edgeley)</v>
      </c>
      <c r="B161" s="96"/>
      <c r="C161" s="96"/>
      <c r="D161" s="96"/>
      <c r="F161" s="96" t="str">
        <f>VLOOKUP(H158&amp;$B$11&amp;"A",Players!$C:$H,4,FALSE)&amp;" ("&amp;VLOOKUP(H158&amp;$B$11&amp;"A",Players!$C:$H,5,FALSE)&amp;")"</f>
        <v>Avril Sloane (Yeti)</v>
      </c>
      <c r="G161" s="96"/>
      <c r="H161" s="96"/>
      <c r="I161" s="96"/>
    </row>
    <row r="162" spans="1:9" s="5" customFormat="1" x14ac:dyDescent="0.25">
      <c r="A162" s="16"/>
      <c r="B162" s="16"/>
      <c r="C162" s="16"/>
      <c r="D162" s="16"/>
      <c r="F162" s="16"/>
      <c r="G162" s="16"/>
      <c r="H162" s="16"/>
      <c r="I162" s="16"/>
    </row>
    <row r="163" spans="1:9" s="5" customFormat="1" ht="18.75" x14ac:dyDescent="0.3">
      <c r="A163" s="16"/>
      <c r="B163" s="16"/>
      <c r="C163" s="16"/>
      <c r="D163" s="16"/>
      <c r="E163" s="13" t="s">
        <v>44</v>
      </c>
      <c r="F163" s="16"/>
      <c r="G163" s="16"/>
      <c r="H163" s="16"/>
      <c r="I163" s="16"/>
    </row>
    <row r="164" spans="1:9" s="5" customFormat="1" ht="15.75" x14ac:dyDescent="0.25">
      <c r="A164" s="8"/>
      <c r="D164" s="15">
        <f>VLOOKUP(RIGHT($F155)*1,Matches!$A:$J,7,FALSE)</f>
        <v>-15</v>
      </c>
      <c r="F164" s="15">
        <f>VLOOKUP(RIGHT($F155)*1,Matches!$A:$J,8,FALSE)</f>
        <v>8</v>
      </c>
    </row>
    <row r="165" spans="1:9" ht="15.75" x14ac:dyDescent="0.25">
      <c r="A165" s="8"/>
      <c r="B165" s="5"/>
      <c r="C165" s="5"/>
      <c r="D165" s="5"/>
      <c r="F165" s="5"/>
      <c r="G165" s="5"/>
      <c r="H165" s="5"/>
      <c r="I165" s="5"/>
    </row>
    <row r="166" spans="1:9" ht="18.75" x14ac:dyDescent="0.3">
      <c r="A166" s="5"/>
      <c r="B166" s="5"/>
      <c r="C166" s="5"/>
      <c r="D166" s="5"/>
      <c r="E166" s="95" t="s">
        <v>29</v>
      </c>
      <c r="F166" s="95"/>
      <c r="G166" s="5"/>
      <c r="H166" s="5"/>
      <c r="I166" s="5"/>
    </row>
    <row r="167" spans="1:9" x14ac:dyDescent="0.25">
      <c r="A167" s="9"/>
      <c r="B167" s="5"/>
      <c r="C167" s="11" t="s">
        <v>30</v>
      </c>
      <c r="D167" s="5"/>
      <c r="E167" s="48">
        <v>13</v>
      </c>
      <c r="F167" s="48">
        <v>21</v>
      </c>
      <c r="G167" s="5"/>
      <c r="H167" s="5"/>
      <c r="I167" s="5"/>
    </row>
    <row r="168" spans="1:9" x14ac:dyDescent="0.25">
      <c r="A168" s="5"/>
      <c r="B168" s="5"/>
      <c r="C168" s="11" t="s">
        <v>31</v>
      </c>
      <c r="D168" s="5"/>
      <c r="E168" s="48">
        <v>13</v>
      </c>
      <c r="F168" s="48">
        <v>21</v>
      </c>
      <c r="G168" s="5"/>
      <c r="H168" s="5"/>
      <c r="I168" s="5"/>
    </row>
    <row r="169" spans="1:9" x14ac:dyDescent="0.25">
      <c r="C169" s="21" t="s">
        <v>32</v>
      </c>
      <c r="D169" s="5"/>
      <c r="E169" s="20">
        <f>IF(OR(E167="",E168=""),"",SUM(IF(MOD(E167,21),0,1),IF(MOD(E168,21),0,1)))</f>
        <v>0</v>
      </c>
      <c r="F169" s="20">
        <f>IF(OR(F167="",F168=""),"",SUM(IF(MOD(F167,21),0,1),IF(MOD(F168,21),0,1)))</f>
        <v>2</v>
      </c>
      <c r="G169" s="11"/>
    </row>
    <row r="170" spans="1:9" x14ac:dyDescent="0.25">
      <c r="C170" s="21"/>
      <c r="D170" s="5"/>
      <c r="E170" s="16"/>
      <c r="F170" s="16"/>
      <c r="G170" s="11"/>
    </row>
    <row r="171" spans="1:9" x14ac:dyDescent="0.25">
      <c r="C171" s="21"/>
      <c r="D171" s="5"/>
      <c r="E171" s="16"/>
      <c r="F171" s="16"/>
      <c r="G171" s="11"/>
    </row>
    <row r="172" spans="1:9" x14ac:dyDescent="0.25">
      <c r="C172" s="21"/>
      <c r="D172" s="5"/>
      <c r="E172" s="16"/>
      <c r="F172" s="16"/>
      <c r="G172" s="11"/>
    </row>
    <row r="173" spans="1:9" x14ac:dyDescent="0.25">
      <c r="E173" s="17"/>
      <c r="F173" s="17"/>
      <c r="G173" s="11"/>
    </row>
    <row r="174" spans="1:9" x14ac:dyDescent="0.25">
      <c r="E174" s="17"/>
      <c r="F174" s="17"/>
      <c r="G174" s="11"/>
    </row>
    <row r="175" spans="1:9" x14ac:dyDescent="0.25">
      <c r="E175" s="17"/>
      <c r="F175" s="17"/>
      <c r="G175" s="11"/>
    </row>
    <row r="176" spans="1:9" x14ac:dyDescent="0.25">
      <c r="E176" s="17"/>
      <c r="F176" s="17"/>
      <c r="G176" s="11"/>
    </row>
    <row r="178" spans="1:9" ht="18" x14ac:dyDescent="0.25">
      <c r="A178" s="89" t="s">
        <v>43</v>
      </c>
      <c r="B178" s="89"/>
      <c r="C178" s="89"/>
      <c r="D178" s="89"/>
      <c r="E178" s="89"/>
      <c r="F178" s="89"/>
      <c r="G178" s="89"/>
      <c r="H178" s="89"/>
      <c r="I178" s="89"/>
    </row>
    <row r="179" spans="1:9" ht="25.5" x14ac:dyDescent="0.35">
      <c r="A179" s="92" t="s">
        <v>21</v>
      </c>
      <c r="B179" s="92"/>
      <c r="C179" s="92"/>
      <c r="D179" s="92"/>
      <c r="E179" s="92"/>
      <c r="F179" s="92"/>
      <c r="G179" s="92"/>
      <c r="H179" s="92"/>
      <c r="I179" s="92"/>
    </row>
    <row r="180" spans="1:9" ht="19.5" x14ac:dyDescent="0.25">
      <c r="A180" s="93" t="s">
        <v>22</v>
      </c>
      <c r="B180" s="93"/>
      <c r="C180" s="93"/>
      <c r="D180" s="93"/>
      <c r="E180" s="93"/>
      <c r="F180" s="93"/>
      <c r="G180" s="93"/>
      <c r="H180" s="93"/>
      <c r="I180" s="93"/>
    </row>
    <row r="181" spans="1:9" x14ac:dyDescent="0.25">
      <c r="A181" s="94" t="s">
        <v>23</v>
      </c>
      <c r="B181" s="94"/>
      <c r="C181" s="94"/>
      <c r="D181" s="94"/>
      <c r="E181" s="94"/>
      <c r="F181" s="94"/>
      <c r="G181" s="94"/>
      <c r="H181" s="94"/>
      <c r="I181" s="94"/>
    </row>
    <row r="182" spans="1:9" x14ac:dyDescent="0.25">
      <c r="A182" s="6"/>
      <c r="B182" s="5"/>
      <c r="C182" s="5"/>
      <c r="D182" s="5"/>
      <c r="E182" s="5"/>
      <c r="F182" s="5"/>
      <c r="G182" s="5"/>
      <c r="H182" s="5"/>
      <c r="I182" s="5"/>
    </row>
    <row r="183" spans="1:9" x14ac:dyDescent="0.25">
      <c r="A183" s="6"/>
      <c r="B183" s="5"/>
      <c r="C183" s="5"/>
      <c r="D183" s="5"/>
      <c r="E183" s="5"/>
      <c r="F183" s="5"/>
      <c r="G183" s="5"/>
      <c r="H183" s="5"/>
      <c r="I183" s="5"/>
    </row>
    <row r="184" spans="1:9" s="5" customFormat="1" ht="18.75" x14ac:dyDescent="0.3">
      <c r="A184" s="9" t="s">
        <v>25</v>
      </c>
      <c r="B184" s="90" t="s">
        <v>8</v>
      </c>
      <c r="C184" s="90"/>
      <c r="D184" s="9" t="s">
        <v>26</v>
      </c>
      <c r="F184" s="13" t="str">
        <f>$B$11&amp;7</f>
        <v>Mx7</v>
      </c>
      <c r="G184" s="22"/>
      <c r="H184" s="17"/>
    </row>
    <row r="185" spans="1:9" s="5" customFormat="1" x14ac:dyDescent="0.25">
      <c r="A185" s="7"/>
    </row>
    <row r="186" spans="1:9" s="5" customFormat="1" x14ac:dyDescent="0.25">
      <c r="A186" s="10"/>
    </row>
    <row r="187" spans="1:9" s="11" customFormat="1" x14ac:dyDescent="0.25">
      <c r="A187" s="91" t="s">
        <v>27</v>
      </c>
      <c r="B187" s="91"/>
      <c r="C187" s="15">
        <f>VLOOKUP(RIGHT($F184)-6,Matches!$A:$J,3,FALSE)</f>
        <v>1</v>
      </c>
      <c r="D187" s="14"/>
      <c r="F187" s="91" t="s">
        <v>27</v>
      </c>
      <c r="G187" s="91"/>
      <c r="H187" s="15">
        <f>VLOOKUP(RIGHT($F184)-6,Matches!$A:$J,4,FALSE)</f>
        <v>2</v>
      </c>
      <c r="I187" s="14"/>
    </row>
    <row r="188" spans="1:9" s="11" customFormat="1" x14ac:dyDescent="0.25">
      <c r="A188" s="91" t="s">
        <v>28</v>
      </c>
      <c r="B188" s="91"/>
      <c r="C188" s="15">
        <f>VLOOKUP(RIGHT($F184)-6,Matches!$A:$J,5,FALSE)</f>
        <v>-15</v>
      </c>
      <c r="D188" s="14"/>
      <c r="E188" s="12" t="s">
        <v>24</v>
      </c>
      <c r="F188" s="91" t="s">
        <v>28</v>
      </c>
      <c r="G188" s="91"/>
      <c r="H188" s="15">
        <f>VLOOKUP(RIGHT($F184)-6,Matches!$A:$J,6,FALSE)</f>
        <v>4</v>
      </c>
      <c r="I188" s="14"/>
    </row>
    <row r="189" spans="1:9" s="5" customFormat="1" x14ac:dyDescent="0.25">
      <c r="A189" s="96" t="str">
        <f>VLOOKUP(C187&amp;$B$11&amp;"B",Players!$C:$H,2,FALSE)&amp;" ("&amp;VLOOKUP(C187&amp;$B$11&amp;"B",Players!$C:$H,3,FALSE)&amp;")"</f>
        <v>Kerry Kirkwood (Forest)</v>
      </c>
      <c r="B189" s="96"/>
      <c r="C189" s="96"/>
      <c r="D189" s="96"/>
      <c r="F189" s="96" t="str">
        <f>VLOOKUP(H187&amp;$B$11&amp;"B",Players!$C:$H,2,FALSE)&amp;" ("&amp;VLOOKUP(H187&amp;$B$11&amp;"B",Players!$C:$H,3,FALSE)&amp;")"</f>
        <v>Andy Foy (Forest)</v>
      </c>
      <c r="G189" s="96"/>
      <c r="H189" s="96"/>
      <c r="I189" s="96"/>
    </row>
    <row r="190" spans="1:9" s="5" customFormat="1" x14ac:dyDescent="0.25">
      <c r="A190" s="96" t="str">
        <f>VLOOKUP(C187&amp;$B$11&amp;"B",Players!$C:$H,4,FALSE)&amp;" ("&amp;VLOOKUP(C187&amp;$B$11&amp;"B",Players!$C:$H,5,FALSE)&amp;")"</f>
        <v>Lisa Edgar (Manchester Edgeley)</v>
      </c>
      <c r="B190" s="96"/>
      <c r="C190" s="96"/>
      <c r="D190" s="96"/>
      <c r="F190" s="96" t="str">
        <f>VLOOKUP(H187&amp;$B$11&amp;"B",Players!$C:$H,4,FALSE)&amp;" ("&amp;VLOOKUP(H187&amp;$B$11&amp;"B",Players!$C:$H,5,FALSE)&amp;")"</f>
        <v>Lesley Fryer (Forest)</v>
      </c>
      <c r="G190" s="96"/>
      <c r="H190" s="96"/>
      <c r="I190" s="96"/>
    </row>
    <row r="191" spans="1:9" s="5" customFormat="1" x14ac:dyDescent="0.25">
      <c r="A191" s="16"/>
      <c r="B191" s="16"/>
      <c r="C191" s="16"/>
      <c r="D191" s="16"/>
      <c r="F191" s="16"/>
      <c r="G191" s="16"/>
      <c r="H191" s="16"/>
      <c r="I191" s="16"/>
    </row>
    <row r="192" spans="1:9" s="5" customFormat="1" ht="18.75" x14ac:dyDescent="0.3">
      <c r="A192" s="16"/>
      <c r="B192" s="16"/>
      <c r="C192" s="16"/>
      <c r="D192" s="16"/>
      <c r="E192" s="13" t="s">
        <v>44</v>
      </c>
      <c r="F192" s="16"/>
      <c r="G192" s="16"/>
      <c r="H192" s="16"/>
      <c r="I192" s="16"/>
    </row>
    <row r="193" spans="1:9" s="5" customFormat="1" ht="15.75" x14ac:dyDescent="0.25">
      <c r="A193" s="8"/>
      <c r="D193" s="15">
        <f>VLOOKUP(RIGHT($F184)-6,Matches!$A:$J,7,FALSE)</f>
        <v>-15</v>
      </c>
      <c r="F193" s="15">
        <f>VLOOKUP(RIGHT($F184)-6,Matches!$A:$J,8,FALSE)</f>
        <v>4</v>
      </c>
    </row>
    <row r="194" spans="1:9" ht="15.75" x14ac:dyDescent="0.25">
      <c r="A194" s="8"/>
      <c r="B194" s="5"/>
      <c r="C194" s="5"/>
      <c r="D194" s="5"/>
      <c r="F194" s="5"/>
      <c r="G194" s="5"/>
      <c r="H194" s="5"/>
      <c r="I194" s="5"/>
    </row>
    <row r="195" spans="1:9" ht="18.75" x14ac:dyDescent="0.3">
      <c r="A195" s="5"/>
      <c r="B195" s="5"/>
      <c r="C195" s="5"/>
      <c r="D195" s="5"/>
      <c r="E195" s="95" t="s">
        <v>29</v>
      </c>
      <c r="F195" s="95"/>
      <c r="G195" s="5"/>
      <c r="H195" s="5"/>
      <c r="I195" s="5"/>
    </row>
    <row r="196" spans="1:9" x14ac:dyDescent="0.25">
      <c r="A196" s="9"/>
      <c r="B196" s="5"/>
      <c r="C196" s="11" t="s">
        <v>30</v>
      </c>
      <c r="D196" s="5"/>
      <c r="E196" s="48">
        <v>21</v>
      </c>
      <c r="F196" s="48">
        <v>20</v>
      </c>
      <c r="G196" s="5"/>
      <c r="H196" s="5"/>
      <c r="I196" s="5"/>
    </row>
    <row r="197" spans="1:9" x14ac:dyDescent="0.25">
      <c r="A197" s="5"/>
      <c r="B197" s="5"/>
      <c r="C197" s="11" t="s">
        <v>31</v>
      </c>
      <c r="D197" s="5"/>
      <c r="E197" s="48">
        <v>21</v>
      </c>
      <c r="F197" s="48">
        <v>19</v>
      </c>
      <c r="G197" s="5"/>
      <c r="H197" s="5"/>
      <c r="I197" s="5"/>
    </row>
    <row r="198" spans="1:9" x14ac:dyDescent="0.25">
      <c r="C198" s="21" t="s">
        <v>32</v>
      </c>
      <c r="D198" s="5"/>
      <c r="E198" s="20">
        <f>IF(OR(E196="",E197=""),"",SUM(IF(MOD(E196,21),0,1),IF(MOD(E197,21),0,1)))</f>
        <v>2</v>
      </c>
      <c r="F198" s="20">
        <f>IF(OR(F196="",F197=""),"",SUM(IF(MOD(F196,21),0,1),IF(MOD(F197,21),0,1)))</f>
        <v>0</v>
      </c>
      <c r="G198" s="11"/>
    </row>
    <row r="199" spans="1:9" x14ac:dyDescent="0.25">
      <c r="E199" s="17"/>
      <c r="F199" s="17"/>
      <c r="G199" s="11"/>
    </row>
    <row r="200" spans="1:9" x14ac:dyDescent="0.25">
      <c r="E200" s="17"/>
      <c r="F200" s="17"/>
      <c r="G200" s="11"/>
    </row>
    <row r="201" spans="1:9" x14ac:dyDescent="0.25">
      <c r="E201" s="17"/>
      <c r="F201" s="17"/>
      <c r="G201" s="11"/>
    </row>
    <row r="202" spans="1:9" x14ac:dyDescent="0.25">
      <c r="E202" s="17"/>
      <c r="F202" s="17"/>
      <c r="G202" s="11"/>
    </row>
    <row r="203" spans="1:9" x14ac:dyDescent="0.25">
      <c r="E203" s="17"/>
      <c r="F203" s="17"/>
      <c r="G203" s="11"/>
    </row>
    <row r="204" spans="1:9" x14ac:dyDescent="0.25">
      <c r="E204" s="17"/>
      <c r="F204" s="17"/>
      <c r="G204" s="11"/>
    </row>
    <row r="205" spans="1:9" x14ac:dyDescent="0.25">
      <c r="E205" s="17"/>
      <c r="F205" s="17"/>
      <c r="G205" s="11"/>
    </row>
    <row r="206" spans="1:9" ht="7.5" customHeight="1" x14ac:dyDescent="0.25"/>
    <row r="207" spans="1:9" ht="18" x14ac:dyDescent="0.25">
      <c r="A207" s="89" t="s">
        <v>43</v>
      </c>
      <c r="B207" s="89"/>
      <c r="C207" s="89"/>
      <c r="D207" s="89"/>
      <c r="E207" s="89"/>
      <c r="F207" s="89"/>
      <c r="G207" s="89"/>
      <c r="H207" s="89"/>
      <c r="I207" s="89"/>
    </row>
    <row r="208" spans="1:9" ht="25.5" x14ac:dyDescent="0.35">
      <c r="A208" s="92" t="s">
        <v>21</v>
      </c>
      <c r="B208" s="92"/>
      <c r="C208" s="92"/>
      <c r="D208" s="92"/>
      <c r="E208" s="92"/>
      <c r="F208" s="92"/>
      <c r="G208" s="92"/>
      <c r="H208" s="92"/>
      <c r="I208" s="92"/>
    </row>
    <row r="209" spans="1:9" ht="19.5" x14ac:dyDescent="0.25">
      <c r="A209" s="93" t="s">
        <v>22</v>
      </c>
      <c r="B209" s="93"/>
      <c r="C209" s="93"/>
      <c r="D209" s="93"/>
      <c r="E209" s="93"/>
      <c r="F209" s="93"/>
      <c r="G209" s="93"/>
      <c r="H209" s="93"/>
      <c r="I209" s="93"/>
    </row>
    <row r="210" spans="1:9" x14ac:dyDescent="0.25">
      <c r="A210" s="94" t="s">
        <v>23</v>
      </c>
      <c r="B210" s="94"/>
      <c r="C210" s="94"/>
      <c r="D210" s="94"/>
      <c r="E210" s="94"/>
      <c r="F210" s="94"/>
      <c r="G210" s="94"/>
      <c r="H210" s="94"/>
      <c r="I210" s="94"/>
    </row>
    <row r="211" spans="1:9" x14ac:dyDescent="0.25">
      <c r="A211" s="6"/>
      <c r="B211" s="5"/>
      <c r="C211" s="5"/>
      <c r="D211" s="5"/>
      <c r="E211" s="5"/>
      <c r="F211" s="5"/>
      <c r="G211" s="5"/>
      <c r="H211" s="5"/>
      <c r="I211" s="5"/>
    </row>
    <row r="212" spans="1:9" x14ac:dyDescent="0.25">
      <c r="A212" s="6"/>
      <c r="B212" s="5"/>
      <c r="C212" s="5"/>
      <c r="D212" s="5"/>
      <c r="E212" s="5"/>
      <c r="F212" s="5"/>
      <c r="G212" s="5"/>
      <c r="H212" s="5"/>
      <c r="I212" s="5"/>
    </row>
    <row r="213" spans="1:9" s="5" customFormat="1" ht="18.75" x14ac:dyDescent="0.3">
      <c r="A213" s="9" t="s">
        <v>25</v>
      </c>
      <c r="B213" s="90" t="s">
        <v>8</v>
      </c>
      <c r="C213" s="90"/>
      <c r="D213" s="9" t="s">
        <v>26</v>
      </c>
      <c r="F213" s="13" t="str">
        <f>$B$11&amp;8</f>
        <v>Mx8</v>
      </c>
      <c r="G213" s="22"/>
      <c r="H213" s="17"/>
    </row>
    <row r="214" spans="1:9" s="5" customFormat="1" x14ac:dyDescent="0.25">
      <c r="A214" s="7"/>
    </row>
    <row r="215" spans="1:9" s="5" customFormat="1" x14ac:dyDescent="0.25">
      <c r="A215" s="10"/>
    </row>
    <row r="216" spans="1:9" s="11" customFormat="1" x14ac:dyDescent="0.25">
      <c r="A216" s="91" t="s">
        <v>27</v>
      </c>
      <c r="B216" s="91"/>
      <c r="C216" s="15">
        <f>VLOOKUP(RIGHT($F213)-6,Matches!$A:$J,3,FALSE)</f>
        <v>3</v>
      </c>
      <c r="D216" s="14"/>
      <c r="F216" s="91" t="s">
        <v>27</v>
      </c>
      <c r="G216" s="91"/>
      <c r="H216" s="15">
        <f>VLOOKUP(RIGHT($F213)-6,Matches!$A:$J,4,FALSE)</f>
        <v>4</v>
      </c>
      <c r="I216" s="14"/>
    </row>
    <row r="217" spans="1:9" s="11" customFormat="1" x14ac:dyDescent="0.25">
      <c r="A217" s="91" t="s">
        <v>28</v>
      </c>
      <c r="B217" s="91"/>
      <c r="C217" s="15">
        <f>VLOOKUP(RIGHT($F213)-6,Matches!$A:$J,5,FALSE)</f>
        <v>8</v>
      </c>
      <c r="D217" s="14"/>
      <c r="E217" s="12" t="s">
        <v>24</v>
      </c>
      <c r="F217" s="91" t="s">
        <v>28</v>
      </c>
      <c r="G217" s="91"/>
      <c r="H217" s="15">
        <f>VLOOKUP(RIGHT($F213)-6,Matches!$A:$J,6,FALSE)</f>
        <v>12</v>
      </c>
      <c r="I217" s="14"/>
    </row>
    <row r="218" spans="1:9" s="5" customFormat="1" x14ac:dyDescent="0.25">
      <c r="A218" s="96" t="str">
        <f>VLOOKUP(C216&amp;$B$11&amp;"B",Players!$C:$H,2,FALSE)&amp;" ("&amp;VLOOKUP(C216&amp;$B$11&amp;"B",Players!$C:$H,3,FALSE)&amp;")"</f>
        <v>Jahangir Hussain (Cheadle Hulme)</v>
      </c>
      <c r="B218" s="96"/>
      <c r="C218" s="96"/>
      <c r="D218" s="96"/>
      <c r="F218" s="96" t="str">
        <f>VLOOKUP(H216&amp;$B$11&amp;"B",Players!$C:$H,2,FALSE)&amp;" ("&amp;VLOOKUP(H216&amp;$B$11&amp;"B",Players!$C:$H,3,FALSE)&amp;")"</f>
        <v>Roshan Jahangir (Cheadle Hulme)</v>
      </c>
      <c r="G218" s="96"/>
      <c r="H218" s="96"/>
      <c r="I218" s="96"/>
    </row>
    <row r="219" spans="1:9" s="5" customFormat="1" x14ac:dyDescent="0.25">
      <c r="A219" s="96" t="str">
        <f>VLOOKUP(C216&amp;$B$11&amp;"B",Players!$C:$H,4,FALSE)&amp;" ("&amp;VLOOKUP(C216&amp;$B$11&amp;"B",Players!$C:$H,5,FALSE)&amp;")"</f>
        <v>Helen Yates (Blue Triangle)</v>
      </c>
      <c r="B219" s="96"/>
      <c r="C219" s="96"/>
      <c r="D219" s="96"/>
      <c r="F219" s="96" t="str">
        <f>VLOOKUP(H216&amp;$B$11&amp;"B",Players!$C:$H,4,FALSE)&amp;" ("&amp;VLOOKUP(H216&amp;$B$11&amp;"B",Players!$C:$H,5,FALSE)&amp;")"</f>
        <v>Janine Lancashire (Cheadle Hulme)</v>
      </c>
      <c r="G219" s="96"/>
      <c r="H219" s="96"/>
      <c r="I219" s="96"/>
    </row>
    <row r="220" spans="1:9" s="5" customFormat="1" x14ac:dyDescent="0.25">
      <c r="A220" s="16"/>
      <c r="B220" s="16"/>
      <c r="C220" s="16"/>
      <c r="D220" s="16"/>
      <c r="F220" s="16"/>
      <c r="G220" s="16"/>
      <c r="H220" s="16"/>
      <c r="I220" s="16"/>
    </row>
    <row r="221" spans="1:9" s="5" customFormat="1" ht="18.75" x14ac:dyDescent="0.3">
      <c r="A221" s="16"/>
      <c r="B221" s="16"/>
      <c r="C221" s="16"/>
      <c r="D221" s="16"/>
      <c r="E221" s="13" t="s">
        <v>44</v>
      </c>
      <c r="F221" s="16"/>
      <c r="G221" s="16"/>
      <c r="H221" s="16"/>
      <c r="I221" s="16"/>
    </row>
    <row r="222" spans="1:9" s="5" customFormat="1" ht="15.75" x14ac:dyDescent="0.25">
      <c r="A222" s="8"/>
      <c r="D222" s="15">
        <f>VLOOKUP(RIGHT($F213)-6,Matches!$A:$J,7,FALSE)</f>
        <v>0</v>
      </c>
      <c r="F222" s="15">
        <f>VLOOKUP(RIGHT($F213)-6,Matches!$A:$J,8,FALSE)</f>
        <v>5</v>
      </c>
    </row>
    <row r="223" spans="1:9" ht="15.75" x14ac:dyDescent="0.25">
      <c r="A223" s="8"/>
      <c r="B223" s="5"/>
      <c r="C223" s="5"/>
      <c r="D223" s="5"/>
      <c r="F223" s="5"/>
      <c r="G223" s="5"/>
      <c r="H223" s="5"/>
      <c r="I223" s="5"/>
    </row>
    <row r="224" spans="1:9" ht="18.75" x14ac:dyDescent="0.3">
      <c r="A224" s="5"/>
      <c r="B224" s="5"/>
      <c r="C224" s="5"/>
      <c r="D224" s="5"/>
      <c r="E224" s="95" t="s">
        <v>29</v>
      </c>
      <c r="F224" s="95"/>
      <c r="G224" s="5"/>
      <c r="H224" s="5"/>
      <c r="I224" s="5"/>
    </row>
    <row r="225" spans="1:9" x14ac:dyDescent="0.25">
      <c r="A225" s="9"/>
      <c r="B225" s="5"/>
      <c r="C225" s="11" t="s">
        <v>30</v>
      </c>
      <c r="D225" s="5"/>
      <c r="E225" s="48">
        <v>20</v>
      </c>
      <c r="F225" s="48">
        <v>21</v>
      </c>
      <c r="G225" s="5"/>
      <c r="H225" s="5"/>
      <c r="I225" s="5"/>
    </row>
    <row r="226" spans="1:9" x14ac:dyDescent="0.25">
      <c r="A226" s="5"/>
      <c r="B226" s="5"/>
      <c r="C226" s="11" t="s">
        <v>31</v>
      </c>
      <c r="D226" s="5"/>
      <c r="E226" s="48">
        <v>11</v>
      </c>
      <c r="F226" s="48">
        <v>21</v>
      </c>
      <c r="G226" s="5"/>
      <c r="H226" s="5"/>
      <c r="I226" s="5"/>
    </row>
    <row r="227" spans="1:9" x14ac:dyDescent="0.25">
      <c r="C227" s="21" t="s">
        <v>32</v>
      </c>
      <c r="D227" s="5"/>
      <c r="E227" s="20">
        <f>IF(OR(E225="",E226=""),"",SUM(IF(MOD(E225,21),0,1),IF(MOD(E226,21),0,1)))</f>
        <v>0</v>
      </c>
      <c r="F227" s="20">
        <f>IF(OR(F225="",F226=""),"",SUM(IF(MOD(F225,21),0,1),IF(MOD(F226,21),0,1)))</f>
        <v>2</v>
      </c>
      <c r="G227" s="11"/>
    </row>
    <row r="228" spans="1:9" x14ac:dyDescent="0.25">
      <c r="C228" s="21"/>
      <c r="D228" s="5"/>
      <c r="E228" s="16"/>
      <c r="F228" s="16"/>
      <c r="G228" s="11"/>
    </row>
    <row r="229" spans="1:9" x14ac:dyDescent="0.25">
      <c r="C229" s="21"/>
      <c r="D229" s="5"/>
      <c r="E229" s="16"/>
      <c r="F229" s="16"/>
      <c r="G229" s="11"/>
    </row>
    <row r="230" spans="1:9" x14ac:dyDescent="0.25">
      <c r="C230" s="21"/>
      <c r="D230" s="5"/>
      <c r="E230" s="16"/>
      <c r="F230" s="16"/>
      <c r="G230" s="11"/>
    </row>
    <row r="231" spans="1:9" x14ac:dyDescent="0.25">
      <c r="E231" s="17"/>
      <c r="F231" s="17"/>
      <c r="G231" s="11"/>
    </row>
    <row r="232" spans="1:9" x14ac:dyDescent="0.25">
      <c r="E232" s="17"/>
      <c r="F232" s="17"/>
      <c r="G232" s="11"/>
    </row>
    <row r="233" spans="1:9" x14ac:dyDescent="0.25">
      <c r="E233" s="17"/>
      <c r="F233" s="17"/>
      <c r="G233" s="11"/>
    </row>
    <row r="234" spans="1:9" x14ac:dyDescent="0.25">
      <c r="E234" s="17"/>
      <c r="F234" s="17"/>
      <c r="G234" s="11"/>
    </row>
    <row r="236" spans="1:9" ht="18" x14ac:dyDescent="0.25">
      <c r="A236" s="89" t="s">
        <v>43</v>
      </c>
      <c r="B236" s="89"/>
      <c r="C236" s="89"/>
      <c r="D236" s="89"/>
      <c r="E236" s="89"/>
      <c r="F236" s="89"/>
      <c r="G236" s="89"/>
      <c r="H236" s="89"/>
      <c r="I236" s="89"/>
    </row>
    <row r="237" spans="1:9" ht="25.5" x14ac:dyDescent="0.35">
      <c r="A237" s="92" t="s">
        <v>21</v>
      </c>
      <c r="B237" s="92"/>
      <c r="C237" s="92"/>
      <c r="D237" s="92"/>
      <c r="E237" s="92"/>
      <c r="F237" s="92"/>
      <c r="G237" s="92"/>
      <c r="H237" s="92"/>
      <c r="I237" s="92"/>
    </row>
    <row r="238" spans="1:9" ht="19.5" x14ac:dyDescent="0.25">
      <c r="A238" s="93" t="s">
        <v>22</v>
      </c>
      <c r="B238" s="93"/>
      <c r="C238" s="93"/>
      <c r="D238" s="93"/>
      <c r="E238" s="93"/>
      <c r="F238" s="93"/>
      <c r="G238" s="93"/>
      <c r="H238" s="93"/>
      <c r="I238" s="93"/>
    </row>
    <row r="239" spans="1:9" x14ac:dyDescent="0.25">
      <c r="A239" s="94" t="s">
        <v>23</v>
      </c>
      <c r="B239" s="94"/>
      <c r="C239" s="94"/>
      <c r="D239" s="94"/>
      <c r="E239" s="94"/>
      <c r="F239" s="94"/>
      <c r="G239" s="94"/>
      <c r="H239" s="94"/>
      <c r="I239" s="94"/>
    </row>
    <row r="240" spans="1:9" x14ac:dyDescent="0.25">
      <c r="A240" s="6"/>
      <c r="B240" s="5"/>
      <c r="C240" s="5"/>
      <c r="D240" s="5"/>
      <c r="E240" s="5"/>
      <c r="F240" s="5"/>
      <c r="G240" s="5"/>
      <c r="H240" s="5"/>
      <c r="I240" s="5"/>
    </row>
    <row r="241" spans="1:9" x14ac:dyDescent="0.25">
      <c r="A241" s="6"/>
      <c r="B241" s="5"/>
      <c r="C241" s="5"/>
      <c r="D241" s="5"/>
      <c r="E241" s="5"/>
      <c r="F241" s="5"/>
      <c r="G241" s="5"/>
      <c r="H241" s="5"/>
      <c r="I241" s="5"/>
    </row>
    <row r="242" spans="1:9" s="5" customFormat="1" ht="18.75" x14ac:dyDescent="0.3">
      <c r="A242" s="9" t="s">
        <v>25</v>
      </c>
      <c r="B242" s="90" t="s">
        <v>8</v>
      </c>
      <c r="C242" s="90"/>
      <c r="D242" s="9" t="s">
        <v>26</v>
      </c>
      <c r="F242" s="13" t="str">
        <f>$B$11&amp;9</f>
        <v>Mx9</v>
      </c>
      <c r="G242" s="22"/>
      <c r="H242" s="17"/>
    </row>
    <row r="243" spans="1:9" s="5" customFormat="1" x14ac:dyDescent="0.25">
      <c r="A243" s="7"/>
    </row>
    <row r="244" spans="1:9" s="5" customFormat="1" x14ac:dyDescent="0.25">
      <c r="A244" s="10"/>
    </row>
    <row r="245" spans="1:9" s="11" customFormat="1" x14ac:dyDescent="0.25">
      <c r="A245" s="91" t="s">
        <v>27</v>
      </c>
      <c r="B245" s="91"/>
      <c r="C245" s="15">
        <f>VLOOKUP(RIGHT($F242)-6,Matches!$A:$J,3,FALSE)</f>
        <v>2</v>
      </c>
      <c r="D245" s="14"/>
      <c r="F245" s="91" t="s">
        <v>27</v>
      </c>
      <c r="G245" s="91"/>
      <c r="H245" s="15">
        <f>VLOOKUP(RIGHT($F242)-6,Matches!$A:$J,4,FALSE)</f>
        <v>3</v>
      </c>
      <c r="I245" s="14"/>
    </row>
    <row r="246" spans="1:9" s="11" customFormat="1" x14ac:dyDescent="0.25">
      <c r="A246" s="91" t="s">
        <v>28</v>
      </c>
      <c r="B246" s="91"/>
      <c r="C246" s="15">
        <f>VLOOKUP(RIGHT($F242)-6,Matches!$A:$J,5,FALSE)</f>
        <v>4</v>
      </c>
      <c r="D246" s="14"/>
      <c r="E246" s="12" t="s">
        <v>24</v>
      </c>
      <c r="F246" s="91" t="s">
        <v>28</v>
      </c>
      <c r="G246" s="91"/>
      <c r="H246" s="15">
        <f>VLOOKUP(RIGHT($F242)-6,Matches!$A:$J,6,FALSE)</f>
        <v>8</v>
      </c>
      <c r="I246" s="14"/>
    </row>
    <row r="247" spans="1:9" s="5" customFormat="1" x14ac:dyDescent="0.25">
      <c r="A247" s="96" t="str">
        <f>VLOOKUP(C245&amp;$B$11&amp;"B",Players!$C:$H,2,FALSE)&amp;" ("&amp;VLOOKUP(C245&amp;$B$11&amp;"B",Players!$C:$H,3,FALSE)&amp;")"</f>
        <v>Andy Foy (Forest)</v>
      </c>
      <c r="B247" s="96"/>
      <c r="C247" s="96"/>
      <c r="D247" s="96"/>
      <c r="F247" s="96" t="str">
        <f>VLOOKUP(H245&amp;$B$11&amp;"B",Players!$C:$H,2,FALSE)&amp;" ("&amp;VLOOKUP(H245&amp;$B$11&amp;"B",Players!$C:$H,3,FALSE)&amp;")"</f>
        <v>Jahangir Hussain (Cheadle Hulme)</v>
      </c>
      <c r="G247" s="96"/>
      <c r="H247" s="96"/>
      <c r="I247" s="96"/>
    </row>
    <row r="248" spans="1:9" s="5" customFormat="1" x14ac:dyDescent="0.25">
      <c r="A248" s="96" t="str">
        <f>VLOOKUP(C245&amp;$B$11&amp;"B",Players!$C:$H,4,FALSE)&amp;" ("&amp;VLOOKUP(C245&amp;$B$11&amp;"B",Players!$C:$H,5,FALSE)&amp;")"</f>
        <v>Lesley Fryer (Forest)</v>
      </c>
      <c r="B248" s="96"/>
      <c r="C248" s="96"/>
      <c r="D248" s="96"/>
      <c r="F248" s="96" t="str">
        <f>VLOOKUP(H245&amp;$B$11&amp;"B",Players!$C:$H,4,FALSE)&amp;" ("&amp;VLOOKUP(H245&amp;$B$11&amp;"B",Players!$C:$H,5,FALSE)&amp;")"</f>
        <v>Helen Yates (Blue Triangle)</v>
      </c>
      <c r="G248" s="96"/>
      <c r="H248" s="96"/>
      <c r="I248" s="96"/>
    </row>
    <row r="249" spans="1:9" s="5" customFormat="1" x14ac:dyDescent="0.25">
      <c r="A249" s="16"/>
      <c r="B249" s="16"/>
      <c r="C249" s="16"/>
      <c r="D249" s="16"/>
      <c r="F249" s="16"/>
      <c r="G249" s="16"/>
      <c r="H249" s="16"/>
      <c r="I249" s="16"/>
    </row>
    <row r="250" spans="1:9" s="5" customFormat="1" ht="18.75" x14ac:dyDescent="0.3">
      <c r="A250" s="16"/>
      <c r="B250" s="16"/>
      <c r="C250" s="16"/>
      <c r="D250" s="16"/>
      <c r="E250" s="13" t="s">
        <v>44</v>
      </c>
      <c r="F250" s="16"/>
      <c r="G250" s="16"/>
      <c r="H250" s="16"/>
      <c r="I250" s="16"/>
    </row>
    <row r="251" spans="1:9" s="5" customFormat="1" ht="15.75" x14ac:dyDescent="0.25">
      <c r="A251" s="8"/>
      <c r="D251" s="15">
        <f>VLOOKUP(RIGHT($F242)-6,Matches!$A:$J,7,FALSE)</f>
        <v>0</v>
      </c>
      <c r="F251" s="15">
        <f>VLOOKUP(RIGHT($F242)-6,Matches!$A:$J,8,FALSE)</f>
        <v>5</v>
      </c>
    </row>
    <row r="252" spans="1:9" ht="15.75" x14ac:dyDescent="0.25">
      <c r="A252" s="8"/>
      <c r="B252" s="5"/>
      <c r="C252" s="5"/>
      <c r="D252" s="5"/>
      <c r="F252" s="5"/>
      <c r="G252" s="5"/>
      <c r="H252" s="5"/>
      <c r="I252" s="5"/>
    </row>
    <row r="253" spans="1:9" ht="18.75" x14ac:dyDescent="0.3">
      <c r="A253" s="5"/>
      <c r="B253" s="5"/>
      <c r="C253" s="5"/>
      <c r="D253" s="5"/>
      <c r="E253" s="95" t="s">
        <v>29</v>
      </c>
      <c r="F253" s="95"/>
      <c r="G253" s="5"/>
      <c r="H253" s="5"/>
      <c r="I253" s="5"/>
    </row>
    <row r="254" spans="1:9" x14ac:dyDescent="0.25">
      <c r="A254" s="9"/>
      <c r="B254" s="5"/>
      <c r="C254" s="11" t="s">
        <v>30</v>
      </c>
      <c r="D254" s="5"/>
      <c r="E254" s="48">
        <v>13</v>
      </c>
      <c r="F254" s="48">
        <v>21</v>
      </c>
      <c r="G254" s="5"/>
      <c r="H254" s="5"/>
      <c r="I254" s="5"/>
    </row>
    <row r="255" spans="1:9" x14ac:dyDescent="0.25">
      <c r="A255" s="5"/>
      <c r="B255" s="5"/>
      <c r="C255" s="11" t="s">
        <v>31</v>
      </c>
      <c r="D255" s="5"/>
      <c r="E255" s="48">
        <v>20</v>
      </c>
      <c r="F255" s="48">
        <v>21</v>
      </c>
      <c r="G255" s="5"/>
      <c r="H255" s="5"/>
      <c r="I255" s="5"/>
    </row>
    <row r="256" spans="1:9" x14ac:dyDescent="0.25">
      <c r="C256" s="21" t="s">
        <v>32</v>
      </c>
      <c r="D256" s="5"/>
      <c r="E256" s="20">
        <f>IF(OR(E254="",E255=""),"",SUM(IF(MOD(E254,21),0,1),IF(MOD(E255,21),0,1)))</f>
        <v>0</v>
      </c>
      <c r="F256" s="20">
        <f>IF(OR(F254="",F255=""),"",SUM(IF(MOD(F254,21),0,1),IF(MOD(F255,21),0,1)))</f>
        <v>2</v>
      </c>
      <c r="G256" s="11"/>
    </row>
    <row r="257" spans="1:9" x14ac:dyDescent="0.25">
      <c r="E257" s="17"/>
      <c r="F257" s="17"/>
      <c r="G257" s="11"/>
    </row>
    <row r="258" spans="1:9" x14ac:dyDescent="0.25">
      <c r="E258" s="17"/>
      <c r="F258" s="17"/>
      <c r="G258" s="11"/>
    </row>
    <row r="259" spans="1:9" x14ac:dyDescent="0.25">
      <c r="E259" s="17"/>
      <c r="F259" s="17"/>
      <c r="G259" s="11"/>
    </row>
    <row r="260" spans="1:9" x14ac:dyDescent="0.25">
      <c r="E260" s="17"/>
      <c r="F260" s="17"/>
      <c r="G260" s="11"/>
    </row>
    <row r="261" spans="1:9" x14ac:dyDescent="0.25">
      <c r="E261" s="17"/>
      <c r="F261" s="17"/>
      <c r="G261" s="11"/>
    </row>
    <row r="262" spans="1:9" x14ac:dyDescent="0.25">
      <c r="E262" s="17"/>
      <c r="F262" s="17"/>
      <c r="G262" s="11"/>
    </row>
    <row r="263" spans="1:9" x14ac:dyDescent="0.25">
      <c r="E263" s="17"/>
      <c r="F263" s="17"/>
      <c r="G263" s="11"/>
    </row>
    <row r="264" spans="1:9" ht="7.5" customHeight="1" x14ac:dyDescent="0.25"/>
    <row r="265" spans="1:9" ht="18" x14ac:dyDescent="0.25">
      <c r="A265" s="89" t="s">
        <v>43</v>
      </c>
      <c r="B265" s="89"/>
      <c r="C265" s="89"/>
      <c r="D265" s="89"/>
      <c r="E265" s="89"/>
      <c r="F265" s="89"/>
      <c r="G265" s="89"/>
      <c r="H265" s="89"/>
      <c r="I265" s="89"/>
    </row>
    <row r="266" spans="1:9" ht="25.5" x14ac:dyDescent="0.35">
      <c r="A266" s="92" t="s">
        <v>21</v>
      </c>
      <c r="B266" s="92"/>
      <c r="C266" s="92"/>
      <c r="D266" s="92"/>
      <c r="E266" s="92"/>
      <c r="F266" s="92"/>
      <c r="G266" s="92"/>
      <c r="H266" s="92"/>
      <c r="I266" s="92"/>
    </row>
    <row r="267" spans="1:9" ht="19.5" x14ac:dyDescent="0.25">
      <c r="A267" s="93" t="s">
        <v>22</v>
      </c>
      <c r="B267" s="93"/>
      <c r="C267" s="93"/>
      <c r="D267" s="93"/>
      <c r="E267" s="93"/>
      <c r="F267" s="93"/>
      <c r="G267" s="93"/>
      <c r="H267" s="93"/>
      <c r="I267" s="93"/>
    </row>
    <row r="268" spans="1:9" x14ac:dyDescent="0.25">
      <c r="A268" s="94" t="s">
        <v>23</v>
      </c>
      <c r="B268" s="94"/>
      <c r="C268" s="94"/>
      <c r="D268" s="94"/>
      <c r="E268" s="94"/>
      <c r="F268" s="94"/>
      <c r="G268" s="94"/>
      <c r="H268" s="94"/>
      <c r="I268" s="94"/>
    </row>
    <row r="269" spans="1:9" x14ac:dyDescent="0.25">
      <c r="A269" s="6"/>
      <c r="B269" s="5"/>
      <c r="C269" s="5"/>
      <c r="D269" s="5"/>
      <c r="E269" s="5"/>
      <c r="F269" s="5"/>
      <c r="G269" s="5"/>
      <c r="H269" s="5"/>
      <c r="I269" s="5"/>
    </row>
    <row r="270" spans="1:9" x14ac:dyDescent="0.25">
      <c r="A270" s="6"/>
      <c r="B270" s="5"/>
      <c r="C270" s="5"/>
      <c r="D270" s="5"/>
      <c r="E270" s="5"/>
      <c r="F270" s="5"/>
      <c r="G270" s="5"/>
      <c r="H270" s="5"/>
      <c r="I270" s="5"/>
    </row>
    <row r="271" spans="1:9" s="5" customFormat="1" ht="18.75" x14ac:dyDescent="0.3">
      <c r="A271" s="9" t="s">
        <v>25</v>
      </c>
      <c r="B271" s="90" t="s">
        <v>8</v>
      </c>
      <c r="C271" s="90"/>
      <c r="D271" s="9" t="s">
        <v>26</v>
      </c>
      <c r="F271" s="13" t="str">
        <f>$B$11&amp;10</f>
        <v>Mx10</v>
      </c>
      <c r="G271" s="22"/>
      <c r="H271" s="17"/>
    </row>
    <row r="272" spans="1:9" s="5" customFormat="1" x14ac:dyDescent="0.25">
      <c r="A272" s="7"/>
    </row>
    <row r="273" spans="1:9" s="5" customFormat="1" x14ac:dyDescent="0.25">
      <c r="A273" s="10"/>
    </row>
    <row r="274" spans="1:9" s="11" customFormat="1" x14ac:dyDescent="0.25">
      <c r="A274" s="91" t="s">
        <v>27</v>
      </c>
      <c r="B274" s="91"/>
      <c r="C274" s="15">
        <f>VLOOKUP(RIGHT($F271,2)-6,Matches!$A:$J,3,FALSE)</f>
        <v>1</v>
      </c>
      <c r="D274" s="14"/>
      <c r="F274" s="91" t="s">
        <v>27</v>
      </c>
      <c r="G274" s="91"/>
      <c r="H274" s="15">
        <f>VLOOKUP(RIGHT($F271,2)-6,Matches!$A:$J,4,FALSE)</f>
        <v>4</v>
      </c>
      <c r="I274" s="14"/>
    </row>
    <row r="275" spans="1:9" s="11" customFormat="1" x14ac:dyDescent="0.25">
      <c r="A275" s="91" t="s">
        <v>28</v>
      </c>
      <c r="B275" s="91"/>
      <c r="C275" s="15">
        <f>VLOOKUP(RIGHT($F271,2)-6,Matches!$A:$J,5,FALSE)</f>
        <v>-15</v>
      </c>
      <c r="D275" s="14"/>
      <c r="E275" s="12" t="s">
        <v>24</v>
      </c>
      <c r="F275" s="91" t="s">
        <v>28</v>
      </c>
      <c r="G275" s="91"/>
      <c r="H275" s="15">
        <f>VLOOKUP(RIGHT($F271,2)-6,Matches!$A:$J,6,FALSE)</f>
        <v>12</v>
      </c>
      <c r="I275" s="14"/>
    </row>
    <row r="276" spans="1:9" s="5" customFormat="1" x14ac:dyDescent="0.25">
      <c r="A276" s="96" t="str">
        <f>VLOOKUP(C274&amp;$B$11&amp;"B",Players!$C:$H,2,FALSE)&amp;" ("&amp;VLOOKUP(C274&amp;$B$11&amp;"B",Players!$C:$H,3,FALSE)&amp;")"</f>
        <v>Kerry Kirkwood (Forest)</v>
      </c>
      <c r="B276" s="96"/>
      <c r="C276" s="96"/>
      <c r="D276" s="96"/>
      <c r="F276" s="96" t="str">
        <f>VLOOKUP(H274&amp;$B$11&amp;"B",Players!$C:$H,2,FALSE)&amp;" ("&amp;VLOOKUP(H274&amp;$B$11&amp;"B",Players!$C:$H,3,FALSE)&amp;")"</f>
        <v>Roshan Jahangir (Cheadle Hulme)</v>
      </c>
      <c r="G276" s="96"/>
      <c r="H276" s="96"/>
      <c r="I276" s="96"/>
    </row>
    <row r="277" spans="1:9" s="5" customFormat="1" x14ac:dyDescent="0.25">
      <c r="A277" s="96" t="str">
        <f>VLOOKUP(C274&amp;$B$11&amp;"B",Players!$C:$H,4,FALSE)&amp;" ("&amp;VLOOKUP(C274&amp;$B$11&amp;"B",Players!$C:$H,5,FALSE)&amp;")"</f>
        <v>Lisa Edgar (Manchester Edgeley)</v>
      </c>
      <c r="B277" s="96"/>
      <c r="C277" s="96"/>
      <c r="D277" s="96"/>
      <c r="F277" s="96" t="str">
        <f>VLOOKUP(H274&amp;$B$11&amp;"B",Players!$C:$H,4,FALSE)&amp;" ("&amp;VLOOKUP(H274&amp;$B$11&amp;"B",Players!$C:$H,5,FALSE)&amp;")"</f>
        <v>Janine Lancashire (Cheadle Hulme)</v>
      </c>
      <c r="G277" s="96"/>
      <c r="H277" s="96"/>
      <c r="I277" s="96"/>
    </row>
    <row r="278" spans="1:9" s="5" customFormat="1" x14ac:dyDescent="0.25">
      <c r="A278" s="16"/>
      <c r="B278" s="16"/>
      <c r="C278" s="16"/>
      <c r="D278" s="16"/>
      <c r="F278" s="16"/>
      <c r="G278" s="16"/>
      <c r="H278" s="16"/>
      <c r="I278" s="16"/>
    </row>
    <row r="279" spans="1:9" s="5" customFormat="1" ht="18.75" x14ac:dyDescent="0.3">
      <c r="A279" s="16"/>
      <c r="B279" s="16"/>
      <c r="C279" s="16"/>
      <c r="D279" s="16"/>
      <c r="E279" s="13" t="s">
        <v>44</v>
      </c>
      <c r="F279" s="16"/>
      <c r="G279" s="16"/>
      <c r="H279" s="16"/>
      <c r="I279" s="16"/>
    </row>
    <row r="280" spans="1:9" s="5" customFormat="1" ht="15.75" x14ac:dyDescent="0.25">
      <c r="A280" s="8"/>
      <c r="D280" s="15">
        <f>VLOOKUP(RIGHT($F271,2)-6,Matches!$A:$J,7,FALSE)</f>
        <v>-15</v>
      </c>
      <c r="F280" s="15">
        <f>VLOOKUP(RIGHT($F271,2)-6,Matches!$A:$J,8,FALSE)</f>
        <v>12</v>
      </c>
    </row>
    <row r="281" spans="1:9" ht="15.75" x14ac:dyDescent="0.25">
      <c r="A281" s="8"/>
      <c r="B281" s="5"/>
      <c r="C281" s="5"/>
      <c r="D281" s="5"/>
      <c r="F281" s="5"/>
      <c r="G281" s="5"/>
      <c r="H281" s="5"/>
      <c r="I281" s="5"/>
    </row>
    <row r="282" spans="1:9" ht="18.75" x14ac:dyDescent="0.3">
      <c r="A282" s="5"/>
      <c r="B282" s="5"/>
      <c r="C282" s="5"/>
      <c r="D282" s="5"/>
      <c r="E282" s="95" t="s">
        <v>29</v>
      </c>
      <c r="F282" s="95"/>
      <c r="G282" s="5"/>
      <c r="H282" s="5"/>
      <c r="I282" s="5"/>
    </row>
    <row r="283" spans="1:9" x14ac:dyDescent="0.25">
      <c r="A283" s="9"/>
      <c r="B283" s="5"/>
      <c r="C283" s="11" t="s">
        <v>30</v>
      </c>
      <c r="D283" s="5"/>
      <c r="E283" s="48">
        <v>21</v>
      </c>
      <c r="F283" s="48">
        <v>20</v>
      </c>
      <c r="G283" s="5"/>
      <c r="H283" s="5"/>
      <c r="I283" s="5"/>
    </row>
    <row r="284" spans="1:9" x14ac:dyDescent="0.25">
      <c r="A284" s="5"/>
      <c r="B284" s="5"/>
      <c r="C284" s="11" t="s">
        <v>31</v>
      </c>
      <c r="D284" s="5"/>
      <c r="E284" s="48">
        <v>8</v>
      </c>
      <c r="F284" s="48">
        <v>21</v>
      </c>
      <c r="G284" s="5"/>
      <c r="H284" s="5"/>
      <c r="I284" s="5"/>
    </row>
    <row r="285" spans="1:9" x14ac:dyDescent="0.25">
      <c r="C285" s="21" t="s">
        <v>32</v>
      </c>
      <c r="D285" s="5"/>
      <c r="E285" s="20">
        <f>IF(OR(E283="",E284=""),"",SUM(IF(MOD(E283,21),0,1),IF(MOD(E284,21),0,1)))</f>
        <v>1</v>
      </c>
      <c r="F285" s="20">
        <f>IF(OR(F283="",F284=""),"",SUM(IF(MOD(F283,21),0,1),IF(MOD(F284,21),0,1)))</f>
        <v>1</v>
      </c>
      <c r="G285" s="11"/>
    </row>
    <row r="286" spans="1:9" x14ac:dyDescent="0.25">
      <c r="E286" s="17"/>
      <c r="F286" s="17"/>
      <c r="G286" s="11"/>
    </row>
    <row r="287" spans="1:9" x14ac:dyDescent="0.25">
      <c r="E287" s="17"/>
      <c r="F287" s="17"/>
      <c r="G287" s="11"/>
    </row>
    <row r="288" spans="1:9" x14ac:dyDescent="0.25">
      <c r="E288" s="17"/>
      <c r="F288" s="17"/>
      <c r="G288" s="11"/>
    </row>
    <row r="289" spans="1:9" x14ac:dyDescent="0.25">
      <c r="E289" s="17"/>
      <c r="F289" s="17"/>
      <c r="G289" s="11"/>
    </row>
    <row r="290" spans="1:9" x14ac:dyDescent="0.25">
      <c r="E290" s="17"/>
      <c r="F290" s="17"/>
      <c r="G290" s="11"/>
    </row>
    <row r="291" spans="1:9" x14ac:dyDescent="0.25">
      <c r="E291" s="17"/>
      <c r="F291" s="17"/>
      <c r="G291" s="11"/>
    </row>
    <row r="292" spans="1:9" x14ac:dyDescent="0.25">
      <c r="E292" s="17"/>
      <c r="F292" s="17"/>
      <c r="G292" s="11"/>
    </row>
    <row r="294" spans="1:9" ht="18" x14ac:dyDescent="0.25">
      <c r="A294" s="89" t="s">
        <v>43</v>
      </c>
      <c r="B294" s="89"/>
      <c r="C294" s="89"/>
      <c r="D294" s="89"/>
      <c r="E294" s="89"/>
      <c r="F294" s="89"/>
      <c r="G294" s="89"/>
      <c r="H294" s="89"/>
      <c r="I294" s="89"/>
    </row>
    <row r="295" spans="1:9" ht="25.5" x14ac:dyDescent="0.35">
      <c r="A295" s="92" t="s">
        <v>21</v>
      </c>
      <c r="B295" s="92"/>
      <c r="C295" s="92"/>
      <c r="D295" s="92"/>
      <c r="E295" s="92"/>
      <c r="F295" s="92"/>
      <c r="G295" s="92"/>
      <c r="H295" s="92"/>
      <c r="I295" s="92"/>
    </row>
    <row r="296" spans="1:9" ht="19.5" x14ac:dyDescent="0.25">
      <c r="A296" s="93" t="s">
        <v>22</v>
      </c>
      <c r="B296" s="93"/>
      <c r="C296" s="93"/>
      <c r="D296" s="93"/>
      <c r="E296" s="93"/>
      <c r="F296" s="93"/>
      <c r="G296" s="93"/>
      <c r="H296" s="93"/>
      <c r="I296" s="93"/>
    </row>
    <row r="297" spans="1:9" x14ac:dyDescent="0.25">
      <c r="A297" s="94" t="s">
        <v>23</v>
      </c>
      <c r="B297" s="94"/>
      <c r="C297" s="94"/>
      <c r="D297" s="94"/>
      <c r="E297" s="94"/>
      <c r="F297" s="94"/>
      <c r="G297" s="94"/>
      <c r="H297" s="94"/>
      <c r="I297" s="94"/>
    </row>
    <row r="298" spans="1:9" x14ac:dyDescent="0.25">
      <c r="A298" s="6"/>
      <c r="B298" s="5"/>
      <c r="C298" s="5"/>
      <c r="D298" s="5"/>
      <c r="E298" s="5"/>
      <c r="F298" s="5"/>
      <c r="G298" s="5"/>
      <c r="H298" s="5"/>
      <c r="I298" s="5"/>
    </row>
    <row r="299" spans="1:9" x14ac:dyDescent="0.25">
      <c r="A299" s="6"/>
      <c r="B299" s="5"/>
      <c r="C299" s="5"/>
      <c r="D299" s="5"/>
      <c r="E299" s="5"/>
      <c r="F299" s="5"/>
      <c r="G299" s="5"/>
      <c r="H299" s="5"/>
      <c r="I299" s="5"/>
    </row>
    <row r="300" spans="1:9" s="5" customFormat="1" ht="18.75" x14ac:dyDescent="0.3">
      <c r="A300" s="9" t="s">
        <v>25</v>
      </c>
      <c r="B300" s="90" t="s">
        <v>8</v>
      </c>
      <c r="C300" s="90"/>
      <c r="D300" s="9" t="s">
        <v>26</v>
      </c>
      <c r="F300" s="13" t="str">
        <f>$B$11&amp;11</f>
        <v>Mx11</v>
      </c>
      <c r="G300" s="22"/>
      <c r="H300" s="17"/>
    </row>
    <row r="301" spans="1:9" s="5" customFormat="1" x14ac:dyDescent="0.25">
      <c r="A301" s="7"/>
    </row>
    <row r="302" spans="1:9" s="5" customFormat="1" x14ac:dyDescent="0.25">
      <c r="A302" s="10"/>
    </row>
    <row r="303" spans="1:9" s="11" customFormat="1" x14ac:dyDescent="0.25">
      <c r="A303" s="91" t="s">
        <v>27</v>
      </c>
      <c r="B303" s="91"/>
      <c r="C303" s="15">
        <f>VLOOKUP(RIGHT($F300,2)-6,Matches!$A:$J,3,FALSE)</f>
        <v>2</v>
      </c>
      <c r="D303" s="14"/>
      <c r="F303" s="91" t="s">
        <v>27</v>
      </c>
      <c r="G303" s="91"/>
      <c r="H303" s="15">
        <f>VLOOKUP(RIGHT($F300,2)-6,Matches!$A:$J,4,FALSE)</f>
        <v>4</v>
      </c>
      <c r="I303" s="14"/>
    </row>
    <row r="304" spans="1:9" s="11" customFormat="1" x14ac:dyDescent="0.25">
      <c r="A304" s="91" t="s">
        <v>28</v>
      </c>
      <c r="B304" s="91"/>
      <c r="C304" s="15">
        <f>VLOOKUP(RIGHT($F300,2)-6,Matches!$A:$J,5,FALSE)</f>
        <v>4</v>
      </c>
      <c r="D304" s="14"/>
      <c r="E304" s="12" t="s">
        <v>24</v>
      </c>
      <c r="F304" s="91" t="s">
        <v>28</v>
      </c>
      <c r="G304" s="91"/>
      <c r="H304" s="15">
        <f>VLOOKUP(RIGHT($F300,2)-6,Matches!$A:$J,6,FALSE)</f>
        <v>12</v>
      </c>
      <c r="I304" s="14"/>
    </row>
    <row r="305" spans="1:9" s="5" customFormat="1" x14ac:dyDescent="0.25">
      <c r="A305" s="96" t="str">
        <f>VLOOKUP(C303&amp;$B$11&amp;"B",Players!$C:$H,2,FALSE)&amp;" ("&amp;VLOOKUP(C303&amp;$B$11&amp;"B",Players!$C:$H,3,FALSE)&amp;")"</f>
        <v>Andy Foy (Forest)</v>
      </c>
      <c r="B305" s="96"/>
      <c r="C305" s="96"/>
      <c r="D305" s="96"/>
      <c r="F305" s="96" t="str">
        <f>VLOOKUP(H303&amp;$B$11&amp;"B",Players!$C:$H,2,FALSE)&amp;" ("&amp;VLOOKUP(H303&amp;$B$11&amp;"B",Players!$C:$H,3,FALSE)&amp;")"</f>
        <v>Roshan Jahangir (Cheadle Hulme)</v>
      </c>
      <c r="G305" s="96"/>
      <c r="H305" s="96"/>
      <c r="I305" s="96"/>
    </row>
    <row r="306" spans="1:9" s="5" customFormat="1" x14ac:dyDescent="0.25">
      <c r="A306" s="96" t="str">
        <f>VLOOKUP(C303&amp;$B$11&amp;"B",Players!$C:$H,4,FALSE)&amp;" ("&amp;VLOOKUP(C303&amp;$B$11&amp;"B",Players!$C:$H,5,FALSE)&amp;")"</f>
        <v>Lesley Fryer (Forest)</v>
      </c>
      <c r="B306" s="96"/>
      <c r="C306" s="96"/>
      <c r="D306" s="96"/>
      <c r="F306" s="96" t="str">
        <f>VLOOKUP(H303&amp;$B$11&amp;"B",Players!$C:$H,4,FALSE)&amp;" ("&amp;VLOOKUP(H303&amp;$B$11&amp;"B",Players!$C:$H,5,FALSE)&amp;")"</f>
        <v>Janine Lancashire (Cheadle Hulme)</v>
      </c>
      <c r="G306" s="96"/>
      <c r="H306" s="96"/>
      <c r="I306" s="96"/>
    </row>
    <row r="307" spans="1:9" s="5" customFormat="1" x14ac:dyDescent="0.25">
      <c r="A307" s="16"/>
      <c r="B307" s="16"/>
      <c r="C307" s="16"/>
      <c r="D307" s="16"/>
      <c r="F307" s="16"/>
      <c r="G307" s="16"/>
      <c r="H307" s="16"/>
      <c r="I307" s="16"/>
    </row>
    <row r="308" spans="1:9" s="5" customFormat="1" ht="18.75" x14ac:dyDescent="0.3">
      <c r="A308" s="16"/>
      <c r="B308" s="16"/>
      <c r="C308" s="16"/>
      <c r="D308" s="16"/>
      <c r="E308" s="13" t="s">
        <v>44</v>
      </c>
      <c r="F308" s="16"/>
      <c r="G308" s="16"/>
      <c r="H308" s="16"/>
      <c r="I308" s="16"/>
    </row>
    <row r="309" spans="1:9" s="5" customFormat="1" ht="15.75" x14ac:dyDescent="0.25">
      <c r="A309" s="8"/>
      <c r="D309" s="15">
        <f>VLOOKUP(RIGHT($F300,2)-6,Matches!$A:$J,7,FALSE)</f>
        <v>0</v>
      </c>
      <c r="F309" s="15">
        <f>VLOOKUP(RIGHT($F300,2)-6,Matches!$A:$J,8,FALSE)</f>
        <v>9</v>
      </c>
    </row>
    <row r="310" spans="1:9" ht="15.75" x14ac:dyDescent="0.25">
      <c r="A310" s="8"/>
      <c r="B310" s="5"/>
      <c r="C310" s="5"/>
      <c r="D310" s="5"/>
      <c r="F310" s="5"/>
      <c r="G310" s="5"/>
      <c r="H310" s="5"/>
      <c r="I310" s="5"/>
    </row>
    <row r="311" spans="1:9" ht="18.75" x14ac:dyDescent="0.3">
      <c r="A311" s="5"/>
      <c r="B311" s="5"/>
      <c r="C311" s="5"/>
      <c r="D311" s="5"/>
      <c r="E311" s="95" t="s">
        <v>29</v>
      </c>
      <c r="F311" s="95"/>
      <c r="G311" s="5"/>
      <c r="H311" s="5"/>
      <c r="I311" s="5"/>
    </row>
    <row r="312" spans="1:9" x14ac:dyDescent="0.25">
      <c r="A312" s="9"/>
      <c r="B312" s="5"/>
      <c r="C312" s="11" t="s">
        <v>30</v>
      </c>
      <c r="D312" s="5"/>
      <c r="E312" s="48">
        <v>9</v>
      </c>
      <c r="F312" s="48">
        <v>21</v>
      </c>
      <c r="G312" s="5"/>
      <c r="H312" s="5"/>
      <c r="I312" s="5"/>
    </row>
    <row r="313" spans="1:9" x14ac:dyDescent="0.25">
      <c r="A313" s="5"/>
      <c r="B313" s="5"/>
      <c r="C313" s="11" t="s">
        <v>31</v>
      </c>
      <c r="D313" s="5"/>
      <c r="E313" s="48">
        <v>19</v>
      </c>
      <c r="F313" s="48">
        <v>21</v>
      </c>
      <c r="G313" s="5"/>
      <c r="H313" s="5"/>
      <c r="I313" s="5"/>
    </row>
    <row r="314" spans="1:9" x14ac:dyDescent="0.25">
      <c r="C314" s="21" t="s">
        <v>32</v>
      </c>
      <c r="D314" s="5"/>
      <c r="E314" s="20">
        <f>IF(OR(E312="",E313=""),"",SUM(IF(MOD(E312,21),0,1),IF(MOD(E313,21),0,1)))</f>
        <v>0</v>
      </c>
      <c r="F314" s="20">
        <f>IF(OR(F312="",F313=""),"",SUM(IF(MOD(F312,21),0,1),IF(MOD(F313,21),0,1)))</f>
        <v>2</v>
      </c>
      <c r="G314" s="11"/>
    </row>
    <row r="315" spans="1:9" x14ac:dyDescent="0.25">
      <c r="E315" s="17"/>
      <c r="F315" s="17"/>
      <c r="G315" s="11"/>
    </row>
    <row r="316" spans="1:9" x14ac:dyDescent="0.25">
      <c r="E316" s="17"/>
      <c r="F316" s="17"/>
      <c r="G316" s="11"/>
    </row>
    <row r="317" spans="1:9" x14ac:dyDescent="0.25">
      <c r="E317" s="17"/>
      <c r="F317" s="17"/>
      <c r="G317" s="11"/>
    </row>
    <row r="318" spans="1:9" x14ac:dyDescent="0.25">
      <c r="E318" s="17"/>
      <c r="F318" s="17"/>
      <c r="G318" s="11"/>
    </row>
    <row r="319" spans="1:9" x14ac:dyDescent="0.25">
      <c r="E319" s="17"/>
      <c r="F319" s="17"/>
      <c r="G319" s="11"/>
    </row>
    <row r="320" spans="1:9" x14ac:dyDescent="0.25">
      <c r="E320" s="17"/>
      <c r="F320" s="17"/>
      <c r="G320" s="11"/>
    </row>
    <row r="321" spans="1:9" x14ac:dyDescent="0.25">
      <c r="E321" s="17"/>
      <c r="F321" s="17"/>
      <c r="G321" s="11"/>
    </row>
    <row r="322" spans="1:9" ht="7.5" customHeight="1" x14ac:dyDescent="0.25"/>
    <row r="323" spans="1:9" ht="18" x14ac:dyDescent="0.25">
      <c r="A323" s="89" t="s">
        <v>43</v>
      </c>
      <c r="B323" s="89"/>
      <c r="C323" s="89"/>
      <c r="D323" s="89"/>
      <c r="E323" s="89"/>
      <c r="F323" s="89"/>
      <c r="G323" s="89"/>
      <c r="H323" s="89"/>
      <c r="I323" s="89"/>
    </row>
    <row r="324" spans="1:9" ht="25.5" x14ac:dyDescent="0.35">
      <c r="A324" s="92" t="s">
        <v>21</v>
      </c>
      <c r="B324" s="92"/>
      <c r="C324" s="92"/>
      <c r="D324" s="92"/>
      <c r="E324" s="92"/>
      <c r="F324" s="92"/>
      <c r="G324" s="92"/>
      <c r="H324" s="92"/>
      <c r="I324" s="92"/>
    </row>
    <row r="325" spans="1:9" ht="19.5" x14ac:dyDescent="0.25">
      <c r="A325" s="93" t="s">
        <v>22</v>
      </c>
      <c r="B325" s="93"/>
      <c r="C325" s="93"/>
      <c r="D325" s="93"/>
      <c r="E325" s="93"/>
      <c r="F325" s="93"/>
      <c r="G325" s="93"/>
      <c r="H325" s="93"/>
      <c r="I325" s="93"/>
    </row>
    <row r="326" spans="1:9" x14ac:dyDescent="0.25">
      <c r="A326" s="94" t="s">
        <v>23</v>
      </c>
      <c r="B326" s="94"/>
      <c r="C326" s="94"/>
      <c r="D326" s="94"/>
      <c r="E326" s="94"/>
      <c r="F326" s="94"/>
      <c r="G326" s="94"/>
      <c r="H326" s="94"/>
      <c r="I326" s="94"/>
    </row>
    <row r="327" spans="1:9" x14ac:dyDescent="0.25">
      <c r="A327" s="6"/>
      <c r="B327" s="5"/>
      <c r="C327" s="5"/>
      <c r="D327" s="5"/>
      <c r="E327" s="5"/>
      <c r="F327" s="5"/>
      <c r="G327" s="5"/>
      <c r="H327" s="5"/>
      <c r="I327" s="5"/>
    </row>
    <row r="328" spans="1:9" x14ac:dyDescent="0.25">
      <c r="A328" s="6"/>
      <c r="B328" s="5"/>
      <c r="C328" s="5"/>
      <c r="D328" s="5"/>
      <c r="E328" s="5"/>
      <c r="F328" s="5"/>
      <c r="G328" s="5"/>
      <c r="H328" s="5"/>
      <c r="I328" s="5"/>
    </row>
    <row r="329" spans="1:9" s="5" customFormat="1" ht="18.75" x14ac:dyDescent="0.3">
      <c r="A329" s="9" t="s">
        <v>25</v>
      </c>
      <c r="B329" s="90" t="s">
        <v>8</v>
      </c>
      <c r="C329" s="90"/>
      <c r="D329" s="9" t="s">
        <v>26</v>
      </c>
      <c r="F329" s="13" t="str">
        <f>$B$11&amp;12</f>
        <v>Mx12</v>
      </c>
      <c r="G329" s="22"/>
      <c r="H329" s="17"/>
    </row>
    <row r="330" spans="1:9" s="5" customFormat="1" x14ac:dyDescent="0.25">
      <c r="A330" s="7"/>
    </row>
    <row r="331" spans="1:9" s="5" customFormat="1" x14ac:dyDescent="0.25">
      <c r="A331" s="10"/>
    </row>
    <row r="332" spans="1:9" s="11" customFormat="1" x14ac:dyDescent="0.25">
      <c r="A332" s="91" t="s">
        <v>27</v>
      </c>
      <c r="B332" s="91"/>
      <c r="C332" s="15">
        <f>VLOOKUP(RIGHT($F329,2)-6,Matches!$A:$J,3,FALSE)</f>
        <v>1</v>
      </c>
      <c r="D332" s="14"/>
      <c r="F332" s="91" t="s">
        <v>27</v>
      </c>
      <c r="G332" s="91"/>
      <c r="H332" s="15">
        <f>VLOOKUP(RIGHT($F329,2)-6,Matches!$A:$J,4,FALSE)</f>
        <v>3</v>
      </c>
      <c r="I332" s="14"/>
    </row>
    <row r="333" spans="1:9" s="11" customFormat="1" x14ac:dyDescent="0.25">
      <c r="A333" s="91" t="s">
        <v>28</v>
      </c>
      <c r="B333" s="91"/>
      <c r="C333" s="15">
        <f>VLOOKUP(RIGHT($F329,2)-6,Matches!$A:$J,5,FALSE)</f>
        <v>-15</v>
      </c>
      <c r="D333" s="14"/>
      <c r="E333" s="12" t="s">
        <v>24</v>
      </c>
      <c r="F333" s="91" t="s">
        <v>28</v>
      </c>
      <c r="G333" s="91"/>
      <c r="H333" s="15">
        <f>VLOOKUP(RIGHT($F329,2)-6,Matches!$A:$J,6,FALSE)</f>
        <v>8</v>
      </c>
      <c r="I333" s="14"/>
    </row>
    <row r="334" spans="1:9" s="5" customFormat="1" x14ac:dyDescent="0.25">
      <c r="A334" s="96" t="str">
        <f>VLOOKUP(C332&amp;$B$11&amp;"B",Players!$C:$H,2,FALSE)&amp;" ("&amp;VLOOKUP(C332&amp;$B$11&amp;"B",Players!$C:$H,3,FALSE)&amp;")"</f>
        <v>Kerry Kirkwood (Forest)</v>
      </c>
      <c r="B334" s="96"/>
      <c r="C334" s="96"/>
      <c r="D334" s="96"/>
      <c r="F334" s="96" t="str">
        <f>VLOOKUP(H332&amp;$B$11&amp;"B",Players!$C:$H,2,FALSE)&amp;" ("&amp;VLOOKUP(H332&amp;$B$11&amp;"B",Players!$C:$H,3,FALSE)&amp;")"</f>
        <v>Jahangir Hussain (Cheadle Hulme)</v>
      </c>
      <c r="G334" s="96"/>
      <c r="H334" s="96"/>
      <c r="I334" s="96"/>
    </row>
    <row r="335" spans="1:9" s="5" customFormat="1" x14ac:dyDescent="0.25">
      <c r="A335" s="96" t="str">
        <f>VLOOKUP(C332&amp;$B$11&amp;"B",Players!$C:$H,4,FALSE)&amp;" ("&amp;VLOOKUP(C332&amp;$B$11&amp;"B",Players!$C:$H,5,FALSE)&amp;")"</f>
        <v>Lisa Edgar (Manchester Edgeley)</v>
      </c>
      <c r="B335" s="96"/>
      <c r="C335" s="96"/>
      <c r="D335" s="96"/>
      <c r="F335" s="96" t="str">
        <f>VLOOKUP(H332&amp;$B$11&amp;"B",Players!$C:$H,4,FALSE)&amp;" ("&amp;VLOOKUP(H332&amp;$B$11&amp;"B",Players!$C:$H,5,FALSE)&amp;")"</f>
        <v>Helen Yates (Blue Triangle)</v>
      </c>
      <c r="G335" s="96"/>
      <c r="H335" s="96"/>
      <c r="I335" s="96"/>
    </row>
    <row r="336" spans="1:9" s="5" customFormat="1" x14ac:dyDescent="0.25">
      <c r="A336" s="16"/>
      <c r="B336" s="16"/>
      <c r="C336" s="16"/>
      <c r="D336" s="16"/>
      <c r="F336" s="16"/>
      <c r="G336" s="16"/>
      <c r="H336" s="16"/>
      <c r="I336" s="16"/>
    </row>
    <row r="337" spans="1:9" s="5" customFormat="1" ht="18.75" x14ac:dyDescent="0.3">
      <c r="A337" s="16"/>
      <c r="B337" s="16"/>
      <c r="C337" s="16"/>
      <c r="D337" s="16"/>
      <c r="E337" s="13" t="s">
        <v>44</v>
      </c>
      <c r="F337" s="16"/>
      <c r="G337" s="16"/>
      <c r="H337" s="16"/>
      <c r="I337" s="16"/>
    </row>
    <row r="338" spans="1:9" s="5" customFormat="1" ht="15.75" x14ac:dyDescent="0.25">
      <c r="A338" s="8"/>
      <c r="D338" s="15">
        <f>VLOOKUP(RIGHT($F329,2)-6,Matches!$A:$J,7,FALSE)</f>
        <v>-15</v>
      </c>
      <c r="F338" s="15">
        <f>VLOOKUP(RIGHT($F329,2)-6,Matches!$A:$J,8,FALSE)</f>
        <v>8</v>
      </c>
    </row>
    <row r="339" spans="1:9" ht="15.75" x14ac:dyDescent="0.25">
      <c r="A339" s="8"/>
      <c r="B339" s="5"/>
      <c r="C339" s="5"/>
      <c r="D339" s="5"/>
      <c r="F339" s="5"/>
      <c r="G339" s="5"/>
      <c r="H339" s="5"/>
      <c r="I339" s="5"/>
    </row>
    <row r="340" spans="1:9" ht="18.75" x14ac:dyDescent="0.3">
      <c r="A340" s="5"/>
      <c r="B340" s="5"/>
      <c r="C340" s="5"/>
      <c r="D340" s="5"/>
      <c r="E340" s="95" t="s">
        <v>29</v>
      </c>
      <c r="F340" s="95"/>
      <c r="G340" s="5"/>
      <c r="H340" s="5"/>
      <c r="I340" s="5"/>
    </row>
    <row r="341" spans="1:9" x14ac:dyDescent="0.25">
      <c r="A341" s="9"/>
      <c r="B341" s="5"/>
      <c r="C341" s="11" t="s">
        <v>30</v>
      </c>
      <c r="D341" s="5"/>
      <c r="E341" s="48">
        <v>21</v>
      </c>
      <c r="F341" s="48">
        <v>18</v>
      </c>
      <c r="G341" s="5"/>
      <c r="H341" s="5"/>
      <c r="I341" s="5"/>
    </row>
    <row r="342" spans="1:9" x14ac:dyDescent="0.25">
      <c r="A342" s="5"/>
      <c r="B342" s="5"/>
      <c r="C342" s="11" t="s">
        <v>31</v>
      </c>
      <c r="D342" s="5"/>
      <c r="E342" s="48">
        <v>21</v>
      </c>
      <c r="F342" s="48">
        <v>16</v>
      </c>
      <c r="G342" s="5"/>
      <c r="H342" s="5"/>
      <c r="I342" s="5"/>
    </row>
    <row r="343" spans="1:9" x14ac:dyDescent="0.25">
      <c r="C343" s="21" t="s">
        <v>32</v>
      </c>
      <c r="D343" s="5"/>
      <c r="E343" s="20">
        <f>IF(OR(E341="",E342=""),"",SUM(IF(MOD(E341,21),0,1),IF(MOD(E342,21),0,1)))</f>
        <v>2</v>
      </c>
      <c r="F343" s="20">
        <f>IF(OR(F341="",F342=""),"",SUM(IF(MOD(F341,21),0,1),IF(MOD(F342,21),0,1)))</f>
        <v>0</v>
      </c>
      <c r="G343" s="11"/>
    </row>
  </sheetData>
  <sheetProtection sheet="1" objects="1" scenarios="1"/>
  <mergeCells count="168">
    <mergeCell ref="A13:B13"/>
    <mergeCell ref="F13:G13"/>
    <mergeCell ref="A4:I4"/>
    <mergeCell ref="A5:I5"/>
    <mergeCell ref="A6:I6"/>
    <mergeCell ref="A7:I7"/>
    <mergeCell ref="B10:C10"/>
    <mergeCell ref="B39:C39"/>
    <mergeCell ref="A14:B14"/>
    <mergeCell ref="F14:G14"/>
    <mergeCell ref="A15:D15"/>
    <mergeCell ref="F15:I15"/>
    <mergeCell ref="A16:D16"/>
    <mergeCell ref="F16:I16"/>
    <mergeCell ref="E21:F21"/>
    <mergeCell ref="A33:I33"/>
    <mergeCell ref="A34:I34"/>
    <mergeCell ref="A35:I35"/>
    <mergeCell ref="A36:I36"/>
    <mergeCell ref="A64:I64"/>
    <mergeCell ref="A42:B42"/>
    <mergeCell ref="F42:G42"/>
    <mergeCell ref="A43:B43"/>
    <mergeCell ref="F43:G43"/>
    <mergeCell ref="A44:D44"/>
    <mergeCell ref="F44:I44"/>
    <mergeCell ref="A45:D45"/>
    <mergeCell ref="F45:I45"/>
    <mergeCell ref="E50:F50"/>
    <mergeCell ref="A62:I62"/>
    <mergeCell ref="A63:I63"/>
    <mergeCell ref="A92:I92"/>
    <mergeCell ref="A93:I93"/>
    <mergeCell ref="A94:I94"/>
    <mergeCell ref="B97:C97"/>
    <mergeCell ref="A100:B100"/>
    <mergeCell ref="F100:G100"/>
    <mergeCell ref="A91:I91"/>
    <mergeCell ref="A65:I65"/>
    <mergeCell ref="B68:C68"/>
    <mergeCell ref="A71:B71"/>
    <mergeCell ref="F71:G71"/>
    <mergeCell ref="A72:B72"/>
    <mergeCell ref="F72:G72"/>
    <mergeCell ref="A73:D73"/>
    <mergeCell ref="F73:I73"/>
    <mergeCell ref="A74:D74"/>
    <mergeCell ref="F74:I74"/>
    <mergeCell ref="E79:F79"/>
    <mergeCell ref="B126:C126"/>
    <mergeCell ref="A101:B101"/>
    <mergeCell ref="F101:G101"/>
    <mergeCell ref="A102:D102"/>
    <mergeCell ref="F102:I102"/>
    <mergeCell ref="A103:D103"/>
    <mergeCell ref="F103:I103"/>
    <mergeCell ref="E108:F108"/>
    <mergeCell ref="A120:I120"/>
    <mergeCell ref="A121:I121"/>
    <mergeCell ref="A122:I122"/>
    <mergeCell ref="A123:I123"/>
    <mergeCell ref="A151:I151"/>
    <mergeCell ref="A129:B129"/>
    <mergeCell ref="F129:G129"/>
    <mergeCell ref="A130:B130"/>
    <mergeCell ref="F130:G130"/>
    <mergeCell ref="A131:D131"/>
    <mergeCell ref="F131:I131"/>
    <mergeCell ref="A132:D132"/>
    <mergeCell ref="F132:I132"/>
    <mergeCell ref="E137:F137"/>
    <mergeCell ref="A149:I149"/>
    <mergeCell ref="A150:I150"/>
    <mergeCell ref="A160:D160"/>
    <mergeCell ref="F160:I160"/>
    <mergeCell ref="A161:D161"/>
    <mergeCell ref="F161:I161"/>
    <mergeCell ref="E166:F166"/>
    <mergeCell ref="A152:I152"/>
    <mergeCell ref="B155:C155"/>
    <mergeCell ref="A158:B158"/>
    <mergeCell ref="F158:G158"/>
    <mergeCell ref="A159:B159"/>
    <mergeCell ref="F159:G159"/>
    <mergeCell ref="A187:B187"/>
    <mergeCell ref="F187:G187"/>
    <mergeCell ref="A188:B188"/>
    <mergeCell ref="F188:G188"/>
    <mergeCell ref="A189:D189"/>
    <mergeCell ref="F189:I189"/>
    <mergeCell ref="A178:I178"/>
    <mergeCell ref="A179:I179"/>
    <mergeCell ref="A180:I180"/>
    <mergeCell ref="A181:I181"/>
    <mergeCell ref="B184:C184"/>
    <mergeCell ref="A209:I209"/>
    <mergeCell ref="A210:I210"/>
    <mergeCell ref="B213:C213"/>
    <mergeCell ref="A216:B216"/>
    <mergeCell ref="F216:G216"/>
    <mergeCell ref="A190:D190"/>
    <mergeCell ref="F190:I190"/>
    <mergeCell ref="E195:F195"/>
    <mergeCell ref="A207:I207"/>
    <mergeCell ref="A208:I208"/>
    <mergeCell ref="E224:F224"/>
    <mergeCell ref="A236:I236"/>
    <mergeCell ref="A237:I237"/>
    <mergeCell ref="A238:I238"/>
    <mergeCell ref="A239:I239"/>
    <mergeCell ref="A217:B217"/>
    <mergeCell ref="F217:G217"/>
    <mergeCell ref="A218:D218"/>
    <mergeCell ref="F218:I218"/>
    <mergeCell ref="A219:D219"/>
    <mergeCell ref="F219:I219"/>
    <mergeCell ref="A247:D247"/>
    <mergeCell ref="F247:I247"/>
    <mergeCell ref="A248:D248"/>
    <mergeCell ref="F248:I248"/>
    <mergeCell ref="E253:F253"/>
    <mergeCell ref="B242:C242"/>
    <mergeCell ref="A245:B245"/>
    <mergeCell ref="F245:G245"/>
    <mergeCell ref="A246:B246"/>
    <mergeCell ref="F246:G246"/>
    <mergeCell ref="A274:B274"/>
    <mergeCell ref="F274:G274"/>
    <mergeCell ref="A275:B275"/>
    <mergeCell ref="F275:G275"/>
    <mergeCell ref="A276:D276"/>
    <mergeCell ref="F276:I276"/>
    <mergeCell ref="A265:I265"/>
    <mergeCell ref="A266:I266"/>
    <mergeCell ref="A267:I267"/>
    <mergeCell ref="A268:I268"/>
    <mergeCell ref="B271:C271"/>
    <mergeCell ref="A296:I296"/>
    <mergeCell ref="A297:I297"/>
    <mergeCell ref="B300:C300"/>
    <mergeCell ref="A303:B303"/>
    <mergeCell ref="F303:G303"/>
    <mergeCell ref="A277:D277"/>
    <mergeCell ref="F277:I277"/>
    <mergeCell ref="E282:F282"/>
    <mergeCell ref="A294:I294"/>
    <mergeCell ref="A295:I295"/>
    <mergeCell ref="E311:F311"/>
    <mergeCell ref="A323:I323"/>
    <mergeCell ref="A324:I324"/>
    <mergeCell ref="A325:I325"/>
    <mergeCell ref="A326:I326"/>
    <mergeCell ref="A304:B304"/>
    <mergeCell ref="F304:G304"/>
    <mergeCell ref="A305:D305"/>
    <mergeCell ref="F305:I305"/>
    <mergeCell ref="A306:D306"/>
    <mergeCell ref="F306:I306"/>
    <mergeCell ref="A334:D334"/>
    <mergeCell ref="F334:I334"/>
    <mergeCell ref="A335:D335"/>
    <mergeCell ref="F335:I335"/>
    <mergeCell ref="E340:F340"/>
    <mergeCell ref="B329:C329"/>
    <mergeCell ref="A332:B332"/>
    <mergeCell ref="F332:G332"/>
    <mergeCell ref="A333:B333"/>
    <mergeCell ref="F333:G333"/>
  </mergeCells>
  <pageMargins left="0.70866141732283472" right="0.70866141732283472" top="0" bottom="0" header="0" footer="0"/>
  <pageSetup paperSize="9" scale="89" fitToHeight="0" orientation="portrait" r:id="rId1"/>
  <rowBreaks count="5" manualBreakCount="5">
    <brk id="58" max="16383" man="1"/>
    <brk id="116" max="8" man="1"/>
    <brk id="174" max="16383" man="1"/>
    <brk id="232" max="16383" man="1"/>
    <brk id="29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Summary</vt:lpstr>
      <vt:lpstr>Match Results</vt:lpstr>
      <vt:lpstr>Players</vt:lpstr>
      <vt:lpstr>Score Sheet Mens</vt:lpstr>
      <vt:lpstr>Score Sheet Ladies</vt:lpstr>
      <vt:lpstr>Score Sheet Mixed</vt:lpstr>
      <vt:lpstr>Mens Scorecards</vt:lpstr>
      <vt:lpstr>Ladies Scorecards</vt:lpstr>
      <vt:lpstr>Mixed Scorecards</vt:lpstr>
      <vt:lpstr>Player Sheet</vt:lpstr>
      <vt:lpstr>Blank Scorecards</vt:lpstr>
      <vt:lpstr>Handicaps</vt:lpstr>
      <vt:lpstr>Matches</vt:lpstr>
      <vt:lpstr>'Blank Scorecards'!Print_Area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Doug Grant</cp:lastModifiedBy>
  <cp:lastPrinted>2025-04-30T13:54:50Z</cp:lastPrinted>
  <dcterms:created xsi:type="dcterms:W3CDTF">2011-03-20T15:12:53Z</dcterms:created>
  <dcterms:modified xsi:type="dcterms:W3CDTF">2025-05-02T07:37:17Z</dcterms:modified>
</cp:coreProperties>
</file>